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9090" activeTab="2"/>
  </bookViews>
  <sheets>
    <sheet name="Foglio1" sheetId="1" r:id="rId1"/>
    <sheet name="Foglio2" sheetId="2" r:id="rId2"/>
    <sheet name="Foglio3" sheetId="3" r:id="rId3"/>
  </sheets>
  <definedNames>
    <definedName name="co">'Foglio3'!$O$2</definedName>
    <definedName name="E">'Foglio1'!$C$21</definedName>
    <definedName name="gi">'Foglio3'!$P$1</definedName>
    <definedName name="I">'Foglio1'!$G$4</definedName>
    <definedName name="Id">'Foglio1'!$S$27</definedName>
    <definedName name="Iu">'Foglio1'!$K$27</definedName>
    <definedName name="Ra">'Foglio1'!$L$11</definedName>
    <definedName name="Ratot">'Foglio1'!$N$5</definedName>
    <definedName name="Rd">'Foglio1'!$U$26</definedName>
    <definedName name="Req">'Foglio1'!$W$3</definedName>
    <definedName name="Rest">'Foglio1'!$O$3</definedName>
    <definedName name="Ri">'Foglio1'!$C$13</definedName>
    <definedName name="Rsh">'Foglio1'!$L$8</definedName>
    <definedName name="Rtot">'Foglio1'!$G$3</definedName>
    <definedName name="Ru">'Foglio1'!$Q$26</definedName>
    <definedName name="Rv">'Foglio1'!$G$14</definedName>
  </definedNames>
  <calcPr fullCalcOnLoad="1"/>
</workbook>
</file>

<file path=xl/sharedStrings.xml><?xml version="1.0" encoding="utf-8"?>
<sst xmlns="http://schemas.openxmlformats.org/spreadsheetml/2006/main" count="1442" uniqueCount="994">
  <si>
    <t>Ra</t>
  </si>
  <si>
    <t>Shunt</t>
  </si>
  <si>
    <t>R2</t>
  </si>
  <si>
    <t>+</t>
  </si>
  <si>
    <t>-</t>
  </si>
  <si>
    <t xml:space="preserve"> f. e. m.</t>
  </si>
  <si>
    <t>V</t>
  </si>
  <si>
    <t xml:space="preserve"> </t>
  </si>
  <si>
    <t>E =</t>
  </si>
  <si>
    <t>r =</t>
  </si>
  <si>
    <t>Ω</t>
  </si>
  <si>
    <t>R1 =</t>
  </si>
  <si>
    <t>A</t>
  </si>
  <si>
    <t>B</t>
  </si>
  <si>
    <t>R2  =</t>
  </si>
  <si>
    <r>
      <t>R</t>
    </r>
    <r>
      <rPr>
        <b/>
        <vertAlign val="subscript"/>
        <sz val="10"/>
        <rFont val="Arial"/>
        <family val="2"/>
      </rPr>
      <t>SH</t>
    </r>
    <r>
      <rPr>
        <b/>
        <sz val="10"/>
        <rFont val="Arial"/>
        <family val="2"/>
      </rPr>
      <t xml:space="preserve"> =</t>
    </r>
  </si>
  <si>
    <r>
      <t>R</t>
    </r>
    <r>
      <rPr>
        <b/>
        <vertAlign val="subscript"/>
        <sz val="10"/>
        <rFont val="Arial"/>
        <family val="2"/>
      </rPr>
      <t>V</t>
    </r>
    <r>
      <rPr>
        <b/>
        <sz val="10"/>
        <rFont val="Arial"/>
        <family val="2"/>
      </rPr>
      <t xml:space="preserve"> =</t>
    </r>
  </si>
  <si>
    <t>(1/ 0)</t>
  </si>
  <si>
    <t>1° Resistore</t>
  </si>
  <si>
    <t>2° Resistore</t>
  </si>
  <si>
    <t>(in serie)</t>
  </si>
  <si>
    <t xml:space="preserve">  =   R1 R2 / (R1 + R2)  =</t>
  </si>
  <si>
    <r>
      <t>R</t>
    </r>
    <r>
      <rPr>
        <b/>
        <vertAlign val="subscript"/>
        <sz val="10"/>
        <rFont val="Arial"/>
        <family val="2"/>
      </rPr>
      <t>EQ</t>
    </r>
  </si>
  <si>
    <r>
      <t>E /(r+R</t>
    </r>
    <r>
      <rPr>
        <b/>
        <vertAlign val="subscript"/>
        <sz val="10"/>
        <rFont val="Arial"/>
        <family val="2"/>
      </rPr>
      <t>EQ</t>
    </r>
    <r>
      <rPr>
        <b/>
        <sz val="10"/>
        <rFont val="Arial"/>
        <family val="2"/>
      </rPr>
      <t>) =</t>
    </r>
  </si>
  <si>
    <r>
      <t>R</t>
    </r>
    <r>
      <rPr>
        <vertAlign val="subscript"/>
        <sz val="10"/>
        <rFont val="Arial"/>
        <family val="2"/>
      </rPr>
      <t xml:space="preserve">A TOT. </t>
    </r>
    <r>
      <rPr>
        <sz val="10"/>
        <rFont val="Arial"/>
        <family val="2"/>
      </rPr>
      <t>=</t>
    </r>
  </si>
  <si>
    <r>
      <t>R</t>
    </r>
    <r>
      <rPr>
        <vertAlign val="subscript"/>
        <sz val="10"/>
        <rFont val="Arial"/>
        <family val="2"/>
      </rPr>
      <t>SH</t>
    </r>
    <r>
      <rPr>
        <sz val="10"/>
        <rFont val="Arial"/>
        <family val="0"/>
      </rPr>
      <t xml:space="preserve"> R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/(R</t>
    </r>
    <r>
      <rPr>
        <vertAlign val="subscript"/>
        <sz val="10"/>
        <rFont val="Arial"/>
        <family val="2"/>
      </rPr>
      <t>SH</t>
    </r>
    <r>
      <rPr>
        <sz val="10"/>
        <rFont val="Arial"/>
        <family val="0"/>
      </rPr>
      <t>+R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) =</t>
    </r>
  </si>
  <si>
    <r>
      <t>R</t>
    </r>
    <r>
      <rPr>
        <vertAlign val="subscript"/>
        <sz val="10"/>
        <rFont val="Arial"/>
        <family val="2"/>
      </rPr>
      <t>EST</t>
    </r>
    <r>
      <rPr>
        <sz val="10"/>
        <rFont val="Arial"/>
        <family val="0"/>
      </rPr>
      <t>= R</t>
    </r>
    <r>
      <rPr>
        <vertAlign val="subscript"/>
        <sz val="10"/>
        <rFont val="Arial"/>
        <family val="2"/>
      </rPr>
      <t xml:space="preserve">V </t>
    </r>
    <r>
      <rPr>
        <sz val="10"/>
        <rFont val="Arial"/>
        <family val="0"/>
      </rPr>
      <t>(R</t>
    </r>
    <r>
      <rPr>
        <vertAlign val="subscript"/>
        <sz val="10"/>
        <rFont val="Arial"/>
        <family val="2"/>
      </rPr>
      <t>EQ</t>
    </r>
    <r>
      <rPr>
        <sz val="10"/>
        <rFont val="Arial"/>
        <family val="0"/>
      </rPr>
      <t>+R</t>
    </r>
    <r>
      <rPr>
        <vertAlign val="subscript"/>
        <sz val="10"/>
        <rFont val="Arial"/>
        <family val="2"/>
      </rPr>
      <t>ATOT</t>
    </r>
    <r>
      <rPr>
        <sz val="10"/>
        <rFont val="Arial"/>
        <family val="0"/>
      </rPr>
      <t>) /(R</t>
    </r>
    <r>
      <rPr>
        <vertAlign val="subscript"/>
        <sz val="10"/>
        <rFont val="Arial"/>
        <family val="2"/>
      </rPr>
      <t>EQ</t>
    </r>
    <r>
      <rPr>
        <sz val="10"/>
        <rFont val="Arial"/>
        <family val="0"/>
      </rPr>
      <t>+R</t>
    </r>
    <r>
      <rPr>
        <vertAlign val="subscript"/>
        <sz val="10"/>
        <rFont val="Arial"/>
        <family val="2"/>
      </rPr>
      <t>ATOT</t>
    </r>
    <r>
      <rPr>
        <sz val="10"/>
        <rFont val="Arial"/>
        <family val="0"/>
      </rPr>
      <t>+R</t>
    </r>
    <r>
      <rPr>
        <vertAlign val="subscript"/>
        <sz val="10"/>
        <rFont val="Arial"/>
        <family val="2"/>
      </rPr>
      <t>V</t>
    </r>
    <r>
      <rPr>
        <sz val="10"/>
        <rFont val="Arial"/>
        <family val="0"/>
      </rPr>
      <t>)=</t>
    </r>
  </si>
  <si>
    <r>
      <t xml:space="preserve">  R</t>
    </r>
    <r>
      <rPr>
        <b/>
        <vertAlign val="sub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=</t>
    </r>
  </si>
  <si>
    <r>
      <t>R</t>
    </r>
    <r>
      <rPr>
        <b/>
        <vertAlign val="subscript"/>
        <sz val="10"/>
        <rFont val="Arial"/>
        <family val="2"/>
      </rPr>
      <t>TOTALE</t>
    </r>
    <r>
      <rPr>
        <b/>
        <sz val="10"/>
        <rFont val="Arial"/>
        <family val="2"/>
      </rPr>
      <t xml:space="preserve"> = R</t>
    </r>
    <r>
      <rPr>
        <b/>
        <vertAlign val="subscript"/>
        <sz val="10"/>
        <rFont val="Arial"/>
        <family val="2"/>
      </rPr>
      <t>EST</t>
    </r>
    <r>
      <rPr>
        <b/>
        <sz val="10"/>
        <rFont val="Arial"/>
        <family val="2"/>
      </rPr>
      <t xml:space="preserve"> + r =</t>
    </r>
  </si>
  <si>
    <r>
      <t xml:space="preserve">  i </t>
    </r>
    <r>
      <rPr>
        <b/>
        <vertAlign val="subscript"/>
        <sz val="10"/>
        <rFont val="Arial"/>
        <family val="2"/>
      </rPr>
      <t>TEORICA</t>
    </r>
  </si>
  <si>
    <r>
      <t>ICA</t>
    </r>
    <r>
      <rPr>
        <b/>
        <sz val="10"/>
        <rFont val="Arial"/>
        <family val="2"/>
      </rPr>
      <t xml:space="preserve"> =</t>
    </r>
  </si>
  <si>
    <r>
      <t>I</t>
    </r>
    <r>
      <rPr>
        <b/>
        <vertAlign val="subscript"/>
        <sz val="10"/>
        <rFont val="Arial"/>
        <family val="2"/>
      </rPr>
      <t>EFFETTIVA</t>
    </r>
    <r>
      <rPr>
        <b/>
        <sz val="10"/>
        <rFont val="Arial"/>
        <family val="2"/>
      </rPr>
      <t xml:space="preserve"> = E / R</t>
    </r>
    <r>
      <rPr>
        <b/>
        <vertAlign val="subscript"/>
        <sz val="10"/>
        <rFont val="Arial"/>
        <family val="2"/>
      </rPr>
      <t xml:space="preserve">TOTALE </t>
    </r>
    <r>
      <rPr>
        <b/>
        <sz val="10"/>
        <rFont val="Arial"/>
        <family val="2"/>
      </rPr>
      <t xml:space="preserve"> =</t>
    </r>
  </si>
  <si>
    <r>
      <t xml:space="preserve">(* </t>
    </r>
    <r>
      <rPr>
        <vertAlign val="subscript"/>
        <sz val="10"/>
        <rFont val="Arial"/>
        <family val="2"/>
      </rPr>
      <t>EFFE</t>
    </r>
  </si>
  <si>
    <r>
      <t>TTIVA: CIRCUITO CON STRUMENTI INSERITI</t>
    </r>
    <r>
      <rPr>
        <sz val="10"/>
        <rFont val="Arial"/>
        <family val="0"/>
      </rPr>
      <t>)</t>
    </r>
  </si>
  <si>
    <r>
      <t xml:space="preserve">(* </t>
    </r>
    <r>
      <rPr>
        <vertAlign val="subscript"/>
        <sz val="10"/>
        <rFont val="Arial"/>
        <family val="2"/>
      </rPr>
      <t>TEORICA: CIRCUITO SENZA STRUMENTI INSERITI</t>
    </r>
    <r>
      <rPr>
        <sz val="10"/>
        <rFont val="Arial"/>
        <family val="0"/>
      </rPr>
      <t>)</t>
    </r>
  </si>
  <si>
    <r>
      <t>V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-V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</t>
    </r>
    <r>
      <rPr>
        <vertAlign val="subscript"/>
        <sz val="10"/>
        <rFont val="Arial"/>
        <family val="2"/>
      </rPr>
      <t xml:space="preserve">TEORICA </t>
    </r>
    <r>
      <rPr>
        <sz val="10"/>
        <rFont val="Arial"/>
        <family val="0"/>
      </rPr>
      <t>= E R</t>
    </r>
    <r>
      <rPr>
        <vertAlign val="subscript"/>
        <sz val="10"/>
        <rFont val="Arial"/>
        <family val="2"/>
      </rPr>
      <t>EQ</t>
    </r>
    <r>
      <rPr>
        <sz val="10"/>
        <rFont val="Arial"/>
        <family val="0"/>
      </rPr>
      <t xml:space="preserve"> /(r+E</t>
    </r>
    <r>
      <rPr>
        <vertAlign val="subscript"/>
        <sz val="10"/>
        <rFont val="Arial"/>
        <family val="2"/>
      </rPr>
      <t>EQ</t>
    </r>
    <r>
      <rPr>
        <sz val="10"/>
        <rFont val="Arial"/>
        <family val="0"/>
      </rPr>
      <t>) =</t>
    </r>
  </si>
  <si>
    <r>
      <t>V</t>
    </r>
    <r>
      <rPr>
        <b/>
        <vertAlign val="subscript"/>
        <sz val="10"/>
        <color indexed="14"/>
        <rFont val="Arial"/>
        <family val="2"/>
      </rPr>
      <t xml:space="preserve">A </t>
    </r>
    <r>
      <rPr>
        <b/>
        <sz val="10"/>
        <color indexed="14"/>
        <rFont val="Arial"/>
        <family val="2"/>
      </rPr>
      <t>-</t>
    </r>
  </si>
  <si>
    <r>
      <t>V</t>
    </r>
    <r>
      <rPr>
        <b/>
        <vertAlign val="subscript"/>
        <sz val="10"/>
        <color indexed="14"/>
        <rFont val="Arial"/>
        <family val="2"/>
      </rPr>
      <t>B</t>
    </r>
    <r>
      <rPr>
        <b/>
        <sz val="10"/>
        <color indexed="14"/>
        <rFont val="Arial"/>
        <family val="2"/>
      </rPr>
      <t xml:space="preserve"> </t>
    </r>
    <r>
      <rPr>
        <b/>
        <vertAlign val="subscript"/>
        <sz val="10"/>
        <color indexed="14"/>
        <rFont val="Arial"/>
        <family val="2"/>
      </rPr>
      <t>MIS</t>
    </r>
    <r>
      <rPr>
        <b/>
        <sz val="10"/>
        <color indexed="14"/>
        <rFont val="Arial"/>
        <family val="2"/>
      </rPr>
      <t xml:space="preserve"> =</t>
    </r>
  </si>
  <si>
    <r>
      <t>I</t>
    </r>
    <r>
      <rPr>
        <b/>
        <vertAlign val="subscript"/>
        <sz val="10"/>
        <color indexed="14"/>
        <rFont val="Arial"/>
        <family val="2"/>
      </rPr>
      <t>V</t>
    </r>
    <r>
      <rPr>
        <b/>
        <sz val="10"/>
        <color indexed="14"/>
        <rFont val="Arial"/>
        <family val="2"/>
      </rPr>
      <t xml:space="preserve"> R</t>
    </r>
    <r>
      <rPr>
        <b/>
        <vertAlign val="subscript"/>
        <sz val="10"/>
        <color indexed="14"/>
        <rFont val="Arial"/>
        <family val="2"/>
      </rPr>
      <t>V</t>
    </r>
    <r>
      <rPr>
        <b/>
        <sz val="10"/>
        <color indexed="14"/>
        <rFont val="Arial"/>
        <family val="2"/>
      </rPr>
      <t xml:space="preserve"> =I</t>
    </r>
    <r>
      <rPr>
        <b/>
        <vertAlign val="subscript"/>
        <sz val="10"/>
        <color indexed="14"/>
        <rFont val="Arial"/>
        <family val="2"/>
      </rPr>
      <t>EFF</t>
    </r>
    <r>
      <rPr>
        <b/>
        <sz val="10"/>
        <color indexed="14"/>
        <rFont val="Arial"/>
        <family val="2"/>
      </rPr>
      <t>R</t>
    </r>
    <r>
      <rPr>
        <b/>
        <vertAlign val="subscript"/>
        <sz val="10"/>
        <color indexed="14"/>
        <rFont val="Arial"/>
        <family val="2"/>
      </rPr>
      <t>EST</t>
    </r>
    <r>
      <rPr>
        <b/>
        <sz val="10"/>
        <color indexed="14"/>
        <rFont val="Arial"/>
        <family val="2"/>
      </rPr>
      <t>R</t>
    </r>
    <r>
      <rPr>
        <b/>
        <vertAlign val="subscript"/>
        <sz val="10"/>
        <color indexed="14"/>
        <rFont val="Arial"/>
        <family val="2"/>
      </rPr>
      <t>V</t>
    </r>
    <r>
      <rPr>
        <b/>
        <sz val="10"/>
        <color indexed="14"/>
        <rFont val="Arial"/>
        <family val="2"/>
      </rPr>
      <t xml:space="preserve"> /(R</t>
    </r>
    <r>
      <rPr>
        <b/>
        <vertAlign val="subscript"/>
        <sz val="10"/>
        <color indexed="14"/>
        <rFont val="Arial"/>
        <family val="2"/>
      </rPr>
      <t>V</t>
    </r>
    <r>
      <rPr>
        <b/>
        <sz val="10"/>
        <color indexed="14"/>
        <rFont val="Arial"/>
        <family val="2"/>
      </rPr>
      <t>+R</t>
    </r>
    <r>
      <rPr>
        <b/>
        <vertAlign val="subscript"/>
        <sz val="10"/>
        <color indexed="14"/>
        <rFont val="Arial"/>
        <family val="2"/>
      </rPr>
      <t>EST</t>
    </r>
    <r>
      <rPr>
        <b/>
        <sz val="10"/>
        <color indexed="14"/>
        <rFont val="Arial"/>
        <family val="2"/>
      </rPr>
      <t>) =</t>
    </r>
  </si>
  <si>
    <t>DI   CORRENTE  (CONTINUA)  E  TENSIONE  IN  UN  CIRCUITO  OHMICO: MODELLO TEORICO</t>
  </si>
  <si>
    <t xml:space="preserve">MISURE ASSOCIATE   </t>
  </si>
  <si>
    <t xml:space="preserve">                       AMPEROMETRO</t>
  </si>
  <si>
    <r>
      <t xml:space="preserve">  ERR. </t>
    </r>
    <r>
      <rPr>
        <b/>
        <vertAlign val="subscript"/>
        <sz val="10"/>
        <color indexed="14"/>
        <rFont val="Arial"/>
        <family val="2"/>
      </rPr>
      <t>TENSIONE</t>
    </r>
    <r>
      <rPr>
        <b/>
        <sz val="10"/>
        <color indexed="14"/>
        <rFont val="Arial"/>
        <family val="2"/>
      </rPr>
      <t xml:space="preserve"> =</t>
    </r>
  </si>
  <si>
    <t>generatore</t>
  </si>
  <si>
    <r>
      <t>i</t>
    </r>
    <r>
      <rPr>
        <b/>
        <vertAlign val="subscript"/>
        <sz val="10"/>
        <color indexed="40"/>
        <rFont val="Arial"/>
        <family val="2"/>
      </rPr>
      <t xml:space="preserve">MISURATA </t>
    </r>
    <r>
      <rPr>
        <b/>
        <sz val="10"/>
        <color indexed="40"/>
        <rFont val="Arial"/>
        <family val="2"/>
      </rPr>
      <t>=i</t>
    </r>
    <r>
      <rPr>
        <b/>
        <vertAlign val="subscript"/>
        <sz val="10"/>
        <color indexed="40"/>
        <rFont val="Arial"/>
        <family val="2"/>
      </rPr>
      <t>EFF</t>
    </r>
    <r>
      <rPr>
        <b/>
        <sz val="10"/>
        <color indexed="40"/>
        <rFont val="Arial"/>
        <family val="2"/>
      </rPr>
      <t>- I</t>
    </r>
    <r>
      <rPr>
        <b/>
        <vertAlign val="subscript"/>
        <sz val="10"/>
        <color indexed="40"/>
        <rFont val="Arial"/>
        <family val="2"/>
      </rPr>
      <t>V</t>
    </r>
    <r>
      <rPr>
        <b/>
        <sz val="10"/>
        <color indexed="40"/>
        <rFont val="Arial"/>
        <family val="2"/>
      </rPr>
      <t xml:space="preserve"> = i</t>
    </r>
    <r>
      <rPr>
        <b/>
        <vertAlign val="subscript"/>
        <sz val="10"/>
        <color indexed="40"/>
        <rFont val="Arial"/>
        <family val="2"/>
      </rPr>
      <t>EFF</t>
    </r>
    <r>
      <rPr>
        <b/>
        <sz val="10"/>
        <color indexed="40"/>
        <rFont val="Arial"/>
        <family val="2"/>
      </rPr>
      <t xml:space="preserve"> R</t>
    </r>
    <r>
      <rPr>
        <b/>
        <vertAlign val="subscript"/>
        <sz val="10"/>
        <color indexed="40"/>
        <rFont val="Arial"/>
        <family val="2"/>
      </rPr>
      <t>V</t>
    </r>
    <r>
      <rPr>
        <b/>
        <sz val="10"/>
        <color indexed="40"/>
        <rFont val="Arial"/>
        <family val="2"/>
      </rPr>
      <t>/(R</t>
    </r>
    <r>
      <rPr>
        <b/>
        <vertAlign val="subscript"/>
        <sz val="10"/>
        <color indexed="40"/>
        <rFont val="Arial"/>
        <family val="2"/>
      </rPr>
      <t>V</t>
    </r>
    <r>
      <rPr>
        <b/>
        <sz val="10"/>
        <color indexed="40"/>
        <rFont val="Arial"/>
        <family val="2"/>
      </rPr>
      <t>+R</t>
    </r>
    <r>
      <rPr>
        <b/>
        <vertAlign val="subscript"/>
        <sz val="10"/>
        <color indexed="40"/>
        <rFont val="Arial"/>
        <family val="2"/>
      </rPr>
      <t>EST</t>
    </r>
    <r>
      <rPr>
        <b/>
        <sz val="10"/>
        <color indexed="40"/>
        <rFont val="Arial"/>
        <family val="2"/>
      </rPr>
      <t>) =</t>
    </r>
  </si>
  <si>
    <r>
      <t xml:space="preserve">  ERR.</t>
    </r>
    <r>
      <rPr>
        <b/>
        <vertAlign val="subscript"/>
        <sz val="10"/>
        <color indexed="40"/>
        <rFont val="Arial"/>
        <family val="2"/>
      </rPr>
      <t>CORRENTE</t>
    </r>
    <r>
      <rPr>
        <b/>
        <sz val="10"/>
        <color indexed="40"/>
        <rFont val="Arial"/>
        <family val="2"/>
      </rPr>
      <t xml:space="preserve"> =</t>
    </r>
  </si>
  <si>
    <t>SISTEMA  PERIODICO  DEGLI  ELEMENTI  DI  MENDELEJEV</t>
  </si>
  <si>
    <t>PERIODI :</t>
  </si>
  <si>
    <t xml:space="preserve">GRUPPI </t>
  </si>
  <si>
    <t>H</t>
  </si>
  <si>
    <t>PRINCIPALI :</t>
  </si>
  <si>
    <t>He</t>
  </si>
  <si>
    <t>K</t>
  </si>
  <si>
    <t>1.008</t>
  </si>
  <si>
    <t>8</t>
  </si>
  <si>
    <t>4.003</t>
  </si>
  <si>
    <t>1°</t>
  </si>
  <si>
    <t>2°</t>
  </si>
  <si>
    <t>2.1</t>
  </si>
  <si>
    <t>3°</t>
  </si>
  <si>
    <t>4°</t>
  </si>
  <si>
    <t>5°</t>
  </si>
  <si>
    <t>6°</t>
  </si>
  <si>
    <t>7°</t>
  </si>
  <si>
    <t>n.atomico</t>
  </si>
  <si>
    <t>Li</t>
  </si>
  <si>
    <t>Be</t>
  </si>
  <si>
    <t>massa at.</t>
  </si>
  <si>
    <t>C</t>
  </si>
  <si>
    <t>N</t>
  </si>
  <si>
    <t>O</t>
  </si>
  <si>
    <t>F</t>
  </si>
  <si>
    <t>Ne</t>
  </si>
  <si>
    <t>6,941</t>
  </si>
  <si>
    <t>9.012</t>
  </si>
  <si>
    <t>10.8</t>
  </si>
  <si>
    <t>1</t>
  </si>
  <si>
    <t>12.01</t>
  </si>
  <si>
    <t>14.01</t>
  </si>
  <si>
    <t>16.00</t>
  </si>
  <si>
    <t>19.00</t>
  </si>
  <si>
    <t>20.18</t>
  </si>
  <si>
    <t>L</t>
  </si>
  <si>
    <t>1.0</t>
  </si>
  <si>
    <t>1.5</t>
  </si>
  <si>
    <t>2.0</t>
  </si>
  <si>
    <t>2.5</t>
  </si>
  <si>
    <t>3.0</t>
  </si>
  <si>
    <t>3.5</t>
  </si>
  <si>
    <t>4.0</t>
  </si>
  <si>
    <t>2,0</t>
  </si>
  <si>
    <t>Na</t>
  </si>
  <si>
    <t>Mg</t>
  </si>
  <si>
    <t>SOTTOGRUPPI :</t>
  </si>
  <si>
    <t>Al</t>
  </si>
  <si>
    <t>Si</t>
  </si>
  <si>
    <t>P</t>
  </si>
  <si>
    <t>S</t>
  </si>
  <si>
    <t>Cl</t>
  </si>
  <si>
    <t>Ar</t>
  </si>
  <si>
    <t>22.99</t>
  </si>
  <si>
    <t>24.31</t>
  </si>
  <si>
    <t>26.98</t>
  </si>
  <si>
    <t>28.09</t>
  </si>
  <si>
    <t>30.97</t>
  </si>
  <si>
    <t>32.96</t>
  </si>
  <si>
    <t>35.45</t>
  </si>
  <si>
    <t>39.95</t>
  </si>
  <si>
    <t>M</t>
  </si>
  <si>
    <t>0.9</t>
  </si>
  <si>
    <t xml:space="preserve">1.2 </t>
  </si>
  <si>
    <t>3' °</t>
  </si>
  <si>
    <t>4' °</t>
  </si>
  <si>
    <t>5' °</t>
  </si>
  <si>
    <t>6' °</t>
  </si>
  <si>
    <t>7' °</t>
  </si>
  <si>
    <t>8' °</t>
  </si>
  <si>
    <t>2' °</t>
  </si>
  <si>
    <t>1.8</t>
  </si>
  <si>
    <t>1,5</t>
  </si>
  <si>
    <t>2,</t>
  </si>
  <si>
    <t>4,5</t>
  </si>
  <si>
    <t>08</t>
  </si>
  <si>
    <t>6,</t>
  </si>
  <si>
    <t>09</t>
  </si>
  <si>
    <t>7,1</t>
  </si>
  <si>
    <t>7,4</t>
  </si>
  <si>
    <t>7,8</t>
  </si>
  <si>
    <t>8,8</t>
  </si>
  <si>
    <t>8,9</t>
  </si>
  <si>
    <t>07</t>
  </si>
  <si>
    <t>7,</t>
  </si>
  <si>
    <t>04</t>
  </si>
  <si>
    <t>Ca</t>
  </si>
  <si>
    <t>Sc</t>
  </si>
  <si>
    <t>Ti</t>
  </si>
  <si>
    <t>Cr</t>
  </si>
  <si>
    <t>Mn</t>
  </si>
  <si>
    <t>Fe</t>
  </si>
  <si>
    <t>Co</t>
  </si>
  <si>
    <t>Ni</t>
  </si>
  <si>
    <t>Cu</t>
  </si>
  <si>
    <t>Zn</t>
  </si>
  <si>
    <t>Ga</t>
  </si>
  <si>
    <t>Ge</t>
  </si>
  <si>
    <t>As</t>
  </si>
  <si>
    <t>Se</t>
  </si>
  <si>
    <t>Br</t>
  </si>
  <si>
    <t>Kr</t>
  </si>
  <si>
    <t>.10</t>
  </si>
  <si>
    <t>.08</t>
  </si>
  <si>
    <t>44.96</t>
  </si>
  <si>
    <t>47.90</t>
  </si>
  <si>
    <t>5094</t>
  </si>
  <si>
    <t>52.00</t>
  </si>
  <si>
    <t>54.94</t>
  </si>
  <si>
    <t>55.85</t>
  </si>
  <si>
    <t>58.93</t>
  </si>
  <si>
    <t>58.71</t>
  </si>
  <si>
    <t>63.55</t>
  </si>
  <si>
    <t>65.38</t>
  </si>
  <si>
    <t>69.72</t>
  </si>
  <si>
    <t>72.59</t>
  </si>
  <si>
    <t>74.92</t>
  </si>
  <si>
    <t>78.96</t>
  </si>
  <si>
    <t>79.90</t>
  </si>
  <si>
    <t>83.80</t>
  </si>
  <si>
    <t>0.8</t>
  </si>
  <si>
    <t>1.3</t>
  </si>
  <si>
    <t>1.6</t>
  </si>
  <si>
    <t>1.9</t>
  </si>
  <si>
    <t>2.4</t>
  </si>
  <si>
    <t>2.8</t>
  </si>
  <si>
    <t>10,</t>
  </si>
  <si>
    <t>11,</t>
  </si>
  <si>
    <t>12,</t>
  </si>
  <si>
    <t>2K</t>
  </si>
  <si>
    <t>Rb</t>
  </si>
  <si>
    <t>Sr</t>
  </si>
  <si>
    <t xml:space="preserve">Y </t>
  </si>
  <si>
    <t>Zr</t>
  </si>
  <si>
    <t>Nb</t>
  </si>
  <si>
    <t>Mo</t>
  </si>
  <si>
    <t>Tc</t>
  </si>
  <si>
    <t>Ru</t>
  </si>
  <si>
    <t>Rh</t>
  </si>
  <si>
    <t>Pd</t>
  </si>
  <si>
    <t>Ag</t>
  </si>
  <si>
    <t>Cd</t>
  </si>
  <si>
    <t>In</t>
  </si>
  <si>
    <t>Sn</t>
  </si>
  <si>
    <t>Sb</t>
  </si>
  <si>
    <t>Te</t>
  </si>
  <si>
    <t xml:space="preserve">I </t>
  </si>
  <si>
    <t>Xe</t>
  </si>
  <si>
    <t>88.91</t>
  </si>
  <si>
    <t>91.22</t>
  </si>
  <si>
    <t>92.91</t>
  </si>
  <si>
    <t>95.94</t>
  </si>
  <si>
    <t>(97)</t>
  </si>
  <si>
    <t>101.07</t>
  </si>
  <si>
    <t>102.91</t>
  </si>
  <si>
    <t>106.40</t>
  </si>
  <si>
    <t>107.87</t>
  </si>
  <si>
    <t>112.40</t>
  </si>
  <si>
    <t>114.82</t>
  </si>
  <si>
    <t>118.69</t>
  </si>
  <si>
    <t>121.75</t>
  </si>
  <si>
    <t>127.60</t>
  </si>
  <si>
    <t>126.90</t>
  </si>
  <si>
    <t>131,30</t>
  </si>
  <si>
    <t>1.2</t>
  </si>
  <si>
    <t>1.4</t>
  </si>
  <si>
    <t>2.2</t>
  </si>
  <si>
    <t>1.7</t>
  </si>
  <si>
    <t>1,9</t>
  </si>
  <si>
    <t>13,</t>
  </si>
  <si>
    <t>16,</t>
  </si>
  <si>
    <t>19,</t>
  </si>
  <si>
    <t>21,</t>
  </si>
  <si>
    <t>023</t>
  </si>
  <si>
    <t>22,</t>
  </si>
  <si>
    <t>03</t>
  </si>
  <si>
    <t>9,</t>
  </si>
  <si>
    <t>Cs</t>
  </si>
  <si>
    <t>Ba</t>
  </si>
  <si>
    <t>La°</t>
  </si>
  <si>
    <t>Hf</t>
  </si>
  <si>
    <t>Ta</t>
  </si>
  <si>
    <t>W</t>
  </si>
  <si>
    <t>Re</t>
  </si>
  <si>
    <t>Os</t>
  </si>
  <si>
    <t>Ir</t>
  </si>
  <si>
    <t>Pt</t>
  </si>
  <si>
    <t>Au</t>
  </si>
  <si>
    <t>Hg</t>
  </si>
  <si>
    <t>Tl</t>
  </si>
  <si>
    <t>Pb</t>
  </si>
  <si>
    <t>Bi</t>
  </si>
  <si>
    <t>Po</t>
  </si>
  <si>
    <t>At</t>
  </si>
  <si>
    <t>Rn</t>
  </si>
  <si>
    <t>137.34</t>
  </si>
  <si>
    <t>138.91</t>
  </si>
  <si>
    <t>178.49</t>
  </si>
  <si>
    <t>180.95</t>
  </si>
  <si>
    <t>183,85</t>
  </si>
  <si>
    <t>186.21</t>
  </si>
  <si>
    <t>190.2</t>
  </si>
  <si>
    <t>192.22</t>
  </si>
  <si>
    <t>195.09</t>
  </si>
  <si>
    <t>196.97</t>
  </si>
  <si>
    <t>200.59</t>
  </si>
  <si>
    <t>204.37</t>
  </si>
  <si>
    <t>207.19</t>
  </si>
  <si>
    <t>208.98</t>
  </si>
  <si>
    <t>209)</t>
  </si>
  <si>
    <t>(210)</t>
  </si>
  <si>
    <t>(222)</t>
  </si>
  <si>
    <t>0.7</t>
  </si>
  <si>
    <t>5,</t>
  </si>
  <si>
    <t>06</t>
  </si>
  <si>
    <t>Fr</t>
  </si>
  <si>
    <t>Ac^</t>
  </si>
  <si>
    <t>LIVELLI</t>
  </si>
  <si>
    <t>6,7</t>
  </si>
  <si>
    <t>00</t>
  </si>
  <si>
    <t>5,2</t>
  </si>
  <si>
    <t>9,0</t>
  </si>
  <si>
    <t>9,3</t>
  </si>
  <si>
    <t>6,9</t>
  </si>
  <si>
    <t>Ce</t>
  </si>
  <si>
    <t>Pr</t>
  </si>
  <si>
    <t>Nd</t>
  </si>
  <si>
    <t>Pm*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</si>
  <si>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</si>
  <si>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</si>
  <si>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</si>
  <si>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</si>
  <si>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</si>
  <si>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</si>
  <si>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</si>
  <si>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</si>
  <si>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</si>
  <si>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</si>
  <si>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LANTANIDI</t>
  </si>
  <si>
    <t>140.12</t>
  </si>
  <si>
    <t>140.91</t>
  </si>
  <si>
    <t>144.24</t>
  </si>
  <si>
    <t>(145)</t>
  </si>
  <si>
    <t>150.4</t>
  </si>
  <si>
    <t>151.96</t>
  </si>
  <si>
    <t>157.25</t>
  </si>
  <si>
    <t>158.93</t>
  </si>
  <si>
    <t>162.50</t>
  </si>
  <si>
    <t>164.93</t>
  </si>
  <si>
    <t>167.26</t>
  </si>
  <si>
    <t>168.93</t>
  </si>
  <si>
    <t>173.04</t>
  </si>
  <si>
    <t>174.97</t>
  </si>
  <si>
    <t>15,</t>
  </si>
  <si>
    <t>05</t>
  </si>
  <si>
    <t>20,</t>
  </si>
  <si>
    <t>14,</t>
  </si>
  <si>
    <t>Th</t>
  </si>
  <si>
    <t>Pa</t>
  </si>
  <si>
    <t>U</t>
  </si>
  <si>
    <t>Np</t>
  </si>
  <si>
    <t>Pu</t>
  </si>
  <si>
    <t>Am</t>
  </si>
  <si>
    <t>Cm</t>
  </si>
  <si>
    <t>Bk</t>
  </si>
  <si>
    <t>Cf</t>
  </si>
  <si>
    <t>Es</t>
  </si>
  <si>
    <t>Fm</t>
  </si>
  <si>
    <t>Md</t>
  </si>
  <si>
    <t>No</t>
  </si>
  <si>
    <t>Lr</t>
  </si>
  <si>
    <t>ATTINIDI</t>
  </si>
  <si>
    <t>^ :</t>
  </si>
  <si>
    <t>232.04</t>
  </si>
  <si>
    <t>231.04</t>
  </si>
  <si>
    <t>238.03</t>
  </si>
  <si>
    <t>237.05</t>
  </si>
  <si>
    <t>(244)</t>
  </si>
  <si>
    <t>(243)</t>
  </si>
  <si>
    <t>(247)</t>
  </si>
  <si>
    <t>(251)</t>
  </si>
  <si>
    <t>(254)</t>
  </si>
  <si>
    <t>(257)</t>
  </si>
  <si>
    <t>(258)</t>
  </si>
  <si>
    <t>(255)</t>
  </si>
  <si>
    <t>(260)</t>
  </si>
  <si>
    <t>Simb.</t>
  </si>
  <si>
    <r>
      <t>(</t>
    </r>
    <r>
      <rPr>
        <u val="single"/>
        <sz val="10"/>
        <rFont val="Arial"/>
        <family val="2"/>
      </rPr>
      <t>Simb</t>
    </r>
    <r>
      <rPr>
        <sz val="10"/>
        <rFont val="Arial"/>
        <family val="0"/>
      </rPr>
      <t>.:gas a C.N:</t>
    </r>
  </si>
  <si>
    <t>: liquido a C.N.)</t>
  </si>
  <si>
    <t>L   E   G   E   N   D   A:</t>
  </si>
  <si>
    <t>8°</t>
  </si>
  <si>
    <t>I° :</t>
  </si>
  <si>
    <t>1' °</t>
  </si>
  <si>
    <t>ALCALINI</t>
  </si>
  <si>
    <t>TERROSI</t>
  </si>
  <si>
    <t>ALOGENI</t>
  </si>
  <si>
    <t>NOBILI</t>
  </si>
  <si>
    <t>massa vol. (relativa all'acqua)</t>
  </si>
  <si>
    <t>elettronegatività.(Pauling)</t>
  </si>
  <si>
    <t>ALCALINO-</t>
  </si>
  <si>
    <t>R1</t>
  </si>
  <si>
    <t xml:space="preserve">         Resistenza </t>
  </si>
  <si>
    <t>interna  del</t>
  </si>
  <si>
    <t>(pila, accumulatore)</t>
  </si>
  <si>
    <t xml:space="preserve">    GENERATORE</t>
  </si>
  <si>
    <t xml:space="preserve">   VOLTMETRO</t>
  </si>
  <si>
    <t xml:space="preserve">   (in parallelo)</t>
  </si>
  <si>
    <t xml:space="preserve">Interruttore </t>
  </si>
  <si>
    <t xml:space="preserve">I1 </t>
  </si>
  <si>
    <t>I2</t>
  </si>
  <si>
    <t>Alluminio</t>
  </si>
  <si>
    <t>Ferro</t>
  </si>
  <si>
    <t>Magnesio</t>
  </si>
  <si>
    <t>Manganese</t>
  </si>
  <si>
    <t>Mercurio</t>
  </si>
  <si>
    <t>Nichel</t>
  </si>
  <si>
    <t>Oro</t>
  </si>
  <si>
    <t>Piombo</t>
  </si>
  <si>
    <t>Platino</t>
  </si>
  <si>
    <t xml:space="preserve">Rame </t>
  </si>
  <si>
    <t>Sodio</t>
  </si>
  <si>
    <t>Stagno</t>
  </si>
  <si>
    <t>Uranio</t>
  </si>
  <si>
    <t>Zinco</t>
  </si>
  <si>
    <t>Tungsteno</t>
  </si>
  <si>
    <t>Potassio</t>
  </si>
  <si>
    <t>St</t>
  </si>
  <si>
    <t>cristallino</t>
  </si>
  <si>
    <t>FCC</t>
  </si>
  <si>
    <t>BCC</t>
  </si>
  <si>
    <t>HCP</t>
  </si>
  <si>
    <t>CUB</t>
  </si>
  <si>
    <t>TET</t>
  </si>
  <si>
    <t>Argento</t>
  </si>
  <si>
    <t>Silicio</t>
  </si>
  <si>
    <t>?</t>
  </si>
  <si>
    <t>Idrogeno</t>
  </si>
  <si>
    <t>Ossigeno</t>
  </si>
  <si>
    <t>Elio</t>
  </si>
  <si>
    <t>Cloro</t>
  </si>
  <si>
    <t>(nei metalli)</t>
  </si>
  <si>
    <t>Sistema</t>
  </si>
  <si>
    <t>°C</t>
  </si>
  <si>
    <t>126;     45 (+++)</t>
  </si>
  <si>
    <t>152;       126 (+)</t>
  </si>
  <si>
    <t>116;        76 (++)</t>
  </si>
  <si>
    <t>140;         65(++)</t>
  </si>
  <si>
    <t>154;      120 (++)</t>
  </si>
  <si>
    <t>203;        133 (+)</t>
  </si>
  <si>
    <t>117;      271(----)</t>
  </si>
  <si>
    <t>135;           96(+)</t>
  </si>
  <si>
    <t>157;          98 (+)</t>
  </si>
  <si>
    <t>140;      294(----)</t>
  </si>
  <si>
    <t>131;        74 (++)</t>
  </si>
  <si>
    <t>Azoto</t>
  </si>
  <si>
    <t xml:space="preserve">Calore lat. </t>
  </si>
  <si>
    <t>di fusione</t>
  </si>
  <si>
    <t>kcal / kg</t>
  </si>
  <si>
    <t>Cal. specif.</t>
  </si>
  <si>
    <t>Cp (a 20°C)</t>
  </si>
  <si>
    <t>kcal / kg K</t>
  </si>
  <si>
    <t>Resistività</t>
  </si>
  <si>
    <t>ρ  (a 20°C)</t>
  </si>
  <si>
    <t>Coeff. resist.</t>
  </si>
  <si>
    <r>
      <t xml:space="preserve">termica </t>
    </r>
    <r>
      <rPr>
        <b/>
        <sz val="8"/>
        <rFont val="Symbol"/>
        <family val="1"/>
      </rPr>
      <t>l</t>
    </r>
  </si>
  <si>
    <r>
      <t xml:space="preserve">58 </t>
    </r>
    <r>
      <rPr>
        <sz val="8"/>
        <rFont val="Symbol"/>
        <family val="1"/>
      </rPr>
      <t>×</t>
    </r>
    <r>
      <rPr>
        <sz val="8"/>
        <rFont val="Arial"/>
        <family val="2"/>
      </rPr>
      <t xml:space="preserve"> 10 </t>
    </r>
    <r>
      <rPr>
        <vertAlign val="superscript"/>
        <sz val="8"/>
        <rFont val="Arial"/>
        <family val="2"/>
      </rPr>
      <t>6</t>
    </r>
  </si>
  <si>
    <r>
      <t xml:space="preserve">10 </t>
    </r>
    <r>
      <rPr>
        <b/>
        <vertAlign val="superscript"/>
        <sz val="9"/>
        <rFont val="Arial"/>
        <family val="2"/>
      </rPr>
      <t xml:space="preserve">- 3   </t>
    </r>
    <r>
      <rPr>
        <b/>
        <sz val="9"/>
        <rFont val="Arial"/>
        <family val="2"/>
      </rPr>
      <t>°C</t>
    </r>
    <r>
      <rPr>
        <b/>
        <vertAlign val="superscript"/>
        <sz val="9"/>
        <rFont val="Arial"/>
        <family val="2"/>
      </rPr>
      <t xml:space="preserve"> -1</t>
    </r>
    <r>
      <rPr>
        <b/>
        <sz val="9"/>
        <rFont val="Arial"/>
        <family val="2"/>
      </rPr>
      <t xml:space="preserve"> </t>
    </r>
  </si>
  <si>
    <r>
      <t xml:space="preserve">temp. </t>
    </r>
    <r>
      <rPr>
        <b/>
        <sz val="8"/>
        <rFont val="Symbol"/>
        <family val="1"/>
      </rPr>
      <t>a</t>
    </r>
    <r>
      <rPr>
        <b/>
        <sz val="8"/>
        <rFont val="Arial"/>
        <family val="2"/>
      </rPr>
      <t xml:space="preserve"> (20°C)</t>
    </r>
  </si>
  <si>
    <r>
      <t>10</t>
    </r>
    <r>
      <rPr>
        <b/>
        <vertAlign val="superscript"/>
        <sz val="8"/>
        <rFont val="Symbol"/>
        <family val="1"/>
      </rPr>
      <t xml:space="preserve"> - 2</t>
    </r>
    <r>
      <rPr>
        <b/>
        <sz val="8"/>
        <rFont val="Symbol"/>
        <family val="1"/>
      </rPr>
      <t>W</t>
    </r>
    <r>
      <rPr>
        <b/>
        <sz val="8"/>
        <rFont val="Arial"/>
        <family val="2"/>
      </rPr>
      <t xml:space="preserve"> mm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/m</t>
    </r>
  </si>
  <si>
    <r>
      <t>3 × 10</t>
    </r>
    <r>
      <rPr>
        <vertAlign val="superscript"/>
        <sz val="8"/>
        <rFont val="Symbol"/>
        <family val="1"/>
      </rPr>
      <t xml:space="preserve"> - 2</t>
    </r>
    <r>
      <rPr>
        <sz val="8"/>
        <rFont val="Symbol"/>
        <family val="1"/>
      </rPr>
      <t>W</t>
    </r>
    <r>
      <rPr>
        <sz val="8"/>
        <rFont val="Arial"/>
        <family val="2"/>
      </rPr>
      <t xml:space="preserve"> m</t>
    </r>
  </si>
  <si>
    <r>
      <t>6 × 10</t>
    </r>
    <r>
      <rPr>
        <vertAlign val="superscript"/>
        <sz val="8"/>
        <rFont val="Symbol"/>
        <family val="1"/>
      </rPr>
      <t xml:space="preserve"> - 2</t>
    </r>
    <r>
      <rPr>
        <sz val="8"/>
        <rFont val="Symbol"/>
        <family val="1"/>
      </rPr>
      <t>W</t>
    </r>
    <r>
      <rPr>
        <sz val="8"/>
        <rFont val="Arial"/>
        <family val="2"/>
      </rPr>
      <t xml:space="preserve"> m</t>
    </r>
  </si>
  <si>
    <r>
      <t>34 × 10</t>
    </r>
    <r>
      <rPr>
        <vertAlign val="superscript"/>
        <sz val="8"/>
        <rFont val="Symbol"/>
        <family val="1"/>
      </rPr>
      <t xml:space="preserve"> - 2</t>
    </r>
    <r>
      <rPr>
        <sz val="8"/>
        <rFont val="Symbol"/>
        <family val="1"/>
      </rPr>
      <t>W</t>
    </r>
    <r>
      <rPr>
        <sz val="8"/>
        <rFont val="Arial"/>
        <family val="2"/>
      </rPr>
      <t xml:space="preserve"> m</t>
    </r>
  </si>
  <si>
    <t>Acqua</t>
  </si>
  <si>
    <t>Aria</t>
  </si>
  <si>
    <t>….</t>
  </si>
  <si>
    <r>
      <t xml:space="preserve">6,2 </t>
    </r>
    <r>
      <rPr>
        <sz val="8"/>
        <rFont val="Symbol"/>
        <family val="1"/>
      </rPr>
      <t>×</t>
    </r>
    <r>
      <rPr>
        <sz val="8"/>
        <rFont val="Arial"/>
        <family val="2"/>
      </rPr>
      <t xml:space="preserve"> 10 </t>
    </r>
    <r>
      <rPr>
        <vertAlign val="superscript"/>
        <sz val="8"/>
        <rFont val="Arial"/>
        <family val="2"/>
      </rPr>
      <t>-6</t>
    </r>
  </si>
  <si>
    <r>
      <t xml:space="preserve">6,2 </t>
    </r>
    <r>
      <rPr>
        <sz val="8"/>
        <rFont val="Symbol"/>
        <family val="1"/>
      </rPr>
      <t>×</t>
    </r>
    <r>
      <rPr>
        <sz val="8"/>
        <rFont val="Arial"/>
        <family val="2"/>
      </rPr>
      <t xml:space="preserve"> 10 </t>
    </r>
    <r>
      <rPr>
        <vertAlign val="superscript"/>
        <sz val="8"/>
        <rFont val="Arial"/>
        <family val="2"/>
      </rPr>
      <t>- 6</t>
    </r>
  </si>
  <si>
    <r>
      <t xml:space="preserve">2 </t>
    </r>
    <r>
      <rPr>
        <sz val="8"/>
        <rFont val="Symbol"/>
        <family val="1"/>
      </rPr>
      <t>×</t>
    </r>
    <r>
      <rPr>
        <sz val="8"/>
        <rFont val="Arial"/>
        <family val="2"/>
      </rPr>
      <t xml:space="preserve"> 10 </t>
    </r>
    <r>
      <rPr>
        <vertAlign val="superscript"/>
        <sz val="8"/>
        <rFont val="Arial"/>
        <family val="2"/>
      </rPr>
      <t>-6</t>
    </r>
  </si>
  <si>
    <r>
      <t xml:space="preserve">35 </t>
    </r>
    <r>
      <rPr>
        <sz val="8"/>
        <rFont val="Symbol"/>
        <family val="1"/>
      </rPr>
      <t>×</t>
    </r>
    <r>
      <rPr>
        <sz val="8"/>
        <rFont val="Arial"/>
        <family val="2"/>
      </rPr>
      <t xml:space="preserve"> 10 </t>
    </r>
    <r>
      <rPr>
        <vertAlign val="superscript"/>
        <sz val="8"/>
        <rFont val="Arial"/>
        <family val="2"/>
      </rPr>
      <t>-6</t>
    </r>
  </si>
  <si>
    <t>ALTRI SOLIDI</t>
  </si>
  <si>
    <t>E LIQUIDI</t>
  </si>
  <si>
    <t>E  LEGHE</t>
  </si>
  <si>
    <t>URE  NORM.</t>
  </si>
  <si>
    <t>Ebbolliz.</t>
  </si>
  <si>
    <t>Fusione</t>
  </si>
  <si>
    <t>VAL. CRITICI</t>
  </si>
  <si>
    <t>SPECIFICI   E</t>
  </si>
  <si>
    <t>CONDUZIONE</t>
  </si>
  <si>
    <t xml:space="preserve"> DI    CALORE  E</t>
  </si>
  <si>
    <t xml:space="preserve">        CALORI</t>
  </si>
  <si>
    <t xml:space="preserve">   ATOMICI</t>
  </si>
  <si>
    <t xml:space="preserve">           DATI </t>
  </si>
  <si>
    <t xml:space="preserve"> LATENTI</t>
  </si>
  <si>
    <t>ELETTRICITA'</t>
  </si>
  <si>
    <t>°C          atm</t>
  </si>
  <si>
    <t>di vaporizz.</t>
  </si>
  <si>
    <t>METALLI,</t>
  </si>
  <si>
    <t xml:space="preserve"> (p = 1atm)</t>
  </si>
  <si>
    <t xml:space="preserve">GAS </t>
  </si>
  <si>
    <t>MASSA</t>
  </si>
  <si>
    <t>Benzina</t>
  </si>
  <si>
    <t>Carboidrati</t>
  </si>
  <si>
    <t>NaOH sol. mol.</t>
  </si>
  <si>
    <t>NaCl sol. mol.</t>
  </si>
  <si>
    <t>NaCl fuso 800°C</t>
  </si>
  <si>
    <t>Glicerina</t>
  </si>
  <si>
    <t>Proteine</t>
  </si>
  <si>
    <t>Ossido di carb.</t>
  </si>
  <si>
    <t>CO</t>
  </si>
  <si>
    <t>Anidr. Carbon.</t>
  </si>
  <si>
    <r>
      <t>C</t>
    </r>
    <r>
      <rPr>
        <vertAlign val="subscript"/>
        <sz val="8"/>
        <rFont val="Arial"/>
        <family val="2"/>
      </rPr>
      <t>4</t>
    </r>
    <r>
      <rPr>
        <sz val="8"/>
        <rFont val="Arial"/>
        <family val="0"/>
      </rPr>
      <t>H</t>
    </r>
    <r>
      <rPr>
        <vertAlign val="subscript"/>
        <sz val="8"/>
        <rFont val="Arial"/>
        <family val="2"/>
      </rPr>
      <t>10</t>
    </r>
  </si>
  <si>
    <r>
      <t>CH</t>
    </r>
    <r>
      <rPr>
        <vertAlign val="subscript"/>
        <sz val="8"/>
        <rFont val="Arial"/>
        <family val="2"/>
      </rPr>
      <t>4</t>
    </r>
  </si>
  <si>
    <r>
      <t>C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6</t>
    </r>
  </si>
  <si>
    <r>
      <t>C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8</t>
    </r>
  </si>
  <si>
    <t>kcal / g</t>
  </si>
  <si>
    <t>Grassi</t>
  </si>
  <si>
    <t>kcal / h m K</t>
  </si>
  <si>
    <t>Potere calorif.</t>
  </si>
  <si>
    <t>Bronzo (5% Sn)</t>
  </si>
  <si>
    <t>…</t>
  </si>
  <si>
    <t>Costantana</t>
  </si>
  <si>
    <t>(45%Ni)</t>
  </si>
  <si>
    <r>
      <t xml:space="preserve">e </t>
    </r>
    <r>
      <rPr>
        <vertAlign val="subscript"/>
        <sz val="12"/>
        <rFont val="Arial"/>
        <family val="2"/>
      </rPr>
      <t>r</t>
    </r>
  </si>
  <si>
    <r>
      <t xml:space="preserve">m </t>
    </r>
    <r>
      <rPr>
        <vertAlign val="subscript"/>
        <sz val="12"/>
        <rFont val="Arial"/>
        <family val="2"/>
      </rPr>
      <t>r</t>
    </r>
  </si>
  <si>
    <t>3,8 - 4,4</t>
  </si>
  <si>
    <t>Benzene</t>
  </si>
  <si>
    <t>vuoto (f=0)</t>
  </si>
  <si>
    <t>Carta</t>
  </si>
  <si>
    <t>2 - 5</t>
  </si>
  <si>
    <t>Ambra</t>
  </si>
  <si>
    <t>Ghiaccio</t>
  </si>
  <si>
    <t>Paraffina</t>
  </si>
  <si>
    <t>Plexiglas</t>
  </si>
  <si>
    <t>Polistirolo</t>
  </si>
  <si>
    <t>Porcellana</t>
  </si>
  <si>
    <t>Quarzo</t>
  </si>
  <si>
    <t>80,1 (20°C)</t>
  </si>
  <si>
    <t>2 - 2,5</t>
  </si>
  <si>
    <t>2,5 - 2,7</t>
  </si>
  <si>
    <t>Alcool etilico</t>
  </si>
  <si>
    <t>Marmo</t>
  </si>
  <si>
    <t>Mica</t>
  </si>
  <si>
    <t>Nylon</t>
  </si>
  <si>
    <t>VOLUM.</t>
  </si>
  <si>
    <t>(relativa</t>
  </si>
  <si>
    <t>all'acqua)</t>
  </si>
  <si>
    <r>
      <t>S</t>
    </r>
    <r>
      <rPr>
        <vertAlign val="subscript"/>
        <sz val="8"/>
        <rFont val="Arial"/>
        <family val="2"/>
      </rPr>
      <t>8</t>
    </r>
  </si>
  <si>
    <t>Bromo</t>
  </si>
  <si>
    <t>100-1000</t>
  </si>
  <si>
    <t>Bismuto</t>
  </si>
  <si>
    <t>250-10000</t>
  </si>
  <si>
    <t xml:space="preserve">     PERMITTIVITA' </t>
  </si>
  <si>
    <t xml:space="preserve">     E  PERMEABILITA'</t>
  </si>
  <si>
    <t>relative al</t>
  </si>
  <si>
    <t>Cobalto</t>
  </si>
  <si>
    <t>se t°&lt; 770°C</t>
  </si>
  <si>
    <t>se t°&lt; 358°C</t>
  </si>
  <si>
    <t>MOLARE</t>
  </si>
  <si>
    <t>g /mole</t>
  </si>
  <si>
    <t>C &lt; 1,5%</t>
  </si>
  <si>
    <t>ELASTICITA'</t>
  </si>
  <si>
    <t>Modulo  E di</t>
  </si>
  <si>
    <t>Young (20°C)</t>
  </si>
  <si>
    <r>
      <t xml:space="preserve">10  </t>
    </r>
    <r>
      <rPr>
        <b/>
        <vertAlign val="superscript"/>
        <sz val="8"/>
        <rFont val="Arial"/>
        <family val="2"/>
      </rPr>
      <t xml:space="preserve">9 </t>
    </r>
    <r>
      <rPr>
        <b/>
        <sz val="8"/>
        <rFont val="Arial"/>
        <family val="2"/>
      </rPr>
      <t>Pa</t>
    </r>
  </si>
  <si>
    <t>Acciaio (1% C)</t>
  </si>
  <si>
    <t>DILATAZIONE</t>
  </si>
  <si>
    <t>lineare/cubico</t>
  </si>
  <si>
    <t>TEMPERAT</t>
  </si>
  <si>
    <t>116;        74 (++)</t>
  </si>
  <si>
    <t>TRG</t>
  </si>
  <si>
    <t>170;    74 (+++++)</t>
  </si>
  <si>
    <t>5,7:diamante</t>
  </si>
  <si>
    <t>Coeff. cubico</t>
  </si>
  <si>
    <t>FCC : cubico facce centrate; BCC: cub. corpo compattoTET: tetragon.; HCP: esag. compatto; TRG: trigonale; CUB: cubico</t>
  </si>
  <si>
    <t>coval. o metall. ;</t>
  </si>
  <si>
    <t xml:space="preserve">Raggio atom. r </t>
  </si>
  <si>
    <r>
      <t xml:space="preserve"> ionico:  10</t>
    </r>
    <r>
      <rPr>
        <b/>
        <vertAlign val="superscript"/>
        <sz val="8"/>
        <rFont val="Arial"/>
        <family val="2"/>
      </rPr>
      <t>-12</t>
    </r>
    <r>
      <rPr>
        <b/>
        <sz val="8"/>
        <rFont val="Arial"/>
        <family val="2"/>
      </rPr>
      <t xml:space="preserve"> m</t>
    </r>
  </si>
  <si>
    <t>Lana</t>
  </si>
  <si>
    <t>0,1 -0,3</t>
  </si>
  <si>
    <t>Lana minerale</t>
  </si>
  <si>
    <t>0,01 -0,3</t>
  </si>
  <si>
    <t>Legno secco</t>
  </si>
  <si>
    <t>0,4 -0,9</t>
  </si>
  <si>
    <t>3 -10 ( || fibre)</t>
  </si>
  <si>
    <t>0,3 - 0,4</t>
  </si>
  <si>
    <t>0,7 -1,2</t>
  </si>
  <si>
    <t>3 - 3,5</t>
  </si>
  <si>
    <t>6 - 7</t>
  </si>
  <si>
    <t>4,3 - 4,5</t>
  </si>
  <si>
    <t xml:space="preserve"> 8 - 8,5</t>
  </si>
  <si>
    <t>6 - 8</t>
  </si>
  <si>
    <t xml:space="preserve"> 3 - 7</t>
  </si>
  <si>
    <t>PERMITTIVITA'  (25°C)</t>
  </si>
  <si>
    <t>Gomma</t>
  </si>
  <si>
    <t>Acetone</t>
  </si>
  <si>
    <t>Ammoniaca</t>
  </si>
  <si>
    <t>Diossido zolfo</t>
  </si>
  <si>
    <t>Gas id. monoat.</t>
  </si>
  <si>
    <t xml:space="preserve">Freon </t>
  </si>
  <si>
    <r>
      <t>SO</t>
    </r>
    <r>
      <rPr>
        <vertAlign val="subscript"/>
        <sz val="8"/>
        <rFont val="Arial"/>
        <family val="2"/>
      </rPr>
      <t>2</t>
    </r>
  </si>
  <si>
    <r>
      <t>NH</t>
    </r>
    <r>
      <rPr>
        <vertAlign val="subscript"/>
        <sz val="8"/>
        <rFont val="Arial"/>
        <family val="2"/>
      </rPr>
      <t>3</t>
    </r>
  </si>
  <si>
    <r>
      <t>CO</t>
    </r>
    <r>
      <rPr>
        <vertAlign val="subscript"/>
        <sz val="8"/>
        <rFont val="Arial"/>
        <family val="2"/>
      </rPr>
      <t>2</t>
    </r>
  </si>
  <si>
    <r>
      <t>H</t>
    </r>
    <r>
      <rPr>
        <vertAlign val="subscript"/>
        <sz val="8"/>
        <rFont val="Arial"/>
        <family val="0"/>
      </rPr>
      <t>2</t>
    </r>
    <r>
      <rPr>
        <sz val="8"/>
        <rFont val="Arial"/>
        <family val="0"/>
      </rPr>
      <t>O</t>
    </r>
  </si>
  <si>
    <r>
      <t>C</t>
    </r>
    <r>
      <rPr>
        <vertAlign val="subscript"/>
        <sz val="8"/>
        <rFont val="Arial"/>
        <family val="0"/>
      </rPr>
      <t>6</t>
    </r>
    <r>
      <rPr>
        <sz val="8"/>
        <rFont val="Arial"/>
        <family val="0"/>
      </rPr>
      <t>H</t>
    </r>
    <r>
      <rPr>
        <vertAlign val="subscript"/>
        <sz val="8"/>
        <rFont val="Arial"/>
        <family val="0"/>
      </rPr>
      <t>6</t>
    </r>
  </si>
  <si>
    <r>
      <t>Br</t>
    </r>
    <r>
      <rPr>
        <vertAlign val="subscript"/>
        <sz val="8"/>
        <rFont val="Arial"/>
        <family val="0"/>
      </rPr>
      <t>2</t>
    </r>
  </si>
  <si>
    <r>
      <t>CCl</t>
    </r>
    <r>
      <rPr>
        <vertAlign val="subscript"/>
        <sz val="8"/>
        <rFont val="Arial"/>
        <family val="2"/>
      </rPr>
      <t xml:space="preserve">2 </t>
    </r>
    <r>
      <rPr>
        <sz val="8"/>
        <rFont val="Arial"/>
        <family val="2"/>
      </rPr>
      <t>F</t>
    </r>
    <r>
      <rPr>
        <vertAlign val="subscript"/>
        <sz val="8"/>
        <rFont val="Arial"/>
        <family val="2"/>
      </rPr>
      <t>2</t>
    </r>
  </si>
  <si>
    <r>
      <t>H</t>
    </r>
    <r>
      <rPr>
        <vertAlign val="subscript"/>
        <sz val="8"/>
        <rFont val="Arial"/>
        <family val="2"/>
      </rPr>
      <t>2</t>
    </r>
  </si>
  <si>
    <r>
      <t>O</t>
    </r>
    <r>
      <rPr>
        <vertAlign val="subscript"/>
        <sz val="8"/>
        <rFont val="Arial"/>
        <family val="2"/>
      </rPr>
      <t>2</t>
    </r>
  </si>
  <si>
    <r>
      <t>N</t>
    </r>
    <r>
      <rPr>
        <vertAlign val="subscript"/>
        <sz val="8"/>
        <rFont val="Arial"/>
        <family val="2"/>
      </rPr>
      <t>2</t>
    </r>
  </si>
  <si>
    <r>
      <t>Cl</t>
    </r>
    <r>
      <rPr>
        <vertAlign val="subscript"/>
        <sz val="8"/>
        <rFont val="Arial"/>
        <family val="2"/>
      </rPr>
      <t>2</t>
    </r>
  </si>
  <si>
    <t>Acetilene</t>
  </si>
  <si>
    <r>
      <t>C</t>
    </r>
    <r>
      <rPr>
        <vertAlign val="subscript"/>
        <sz val="8"/>
        <rFont val="Arial"/>
        <family val="2"/>
      </rPr>
      <t xml:space="preserve">2 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2</t>
    </r>
  </si>
  <si>
    <t>0,04464M</t>
  </si>
  <si>
    <t>4  (4,1)</t>
  </si>
  <si>
    <t>9  (8,8)</t>
  </si>
  <si>
    <t>Antracite</t>
  </si>
  <si>
    <t>CARATTERISTICHE FISICHE-CHIMICHE PRINCIPALI  DEI PIU'  IMPORTANTI  ELEMENTI,  COMPOSTI  E  MATERIALI   -</t>
  </si>
  <si>
    <t>(sublima)</t>
  </si>
  <si>
    <t>Cromo</t>
  </si>
  <si>
    <r>
      <t>C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8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3</t>
    </r>
  </si>
  <si>
    <t xml:space="preserve">Grafite - Diam. </t>
  </si>
  <si>
    <t>Etere</t>
  </si>
  <si>
    <t>TENS. SUP. σ : N/m -</t>
  </si>
  <si>
    <t>Pentano</t>
  </si>
  <si>
    <t>Ottano</t>
  </si>
  <si>
    <t>Eptano</t>
  </si>
  <si>
    <t>Esano</t>
  </si>
  <si>
    <t>Germanio</t>
  </si>
  <si>
    <r>
      <t xml:space="preserve"> 6,6720 </t>
    </r>
    <r>
      <rPr>
        <b/>
        <sz val="10"/>
        <rFont val="Symbol"/>
        <family val="1"/>
      </rPr>
      <t>×</t>
    </r>
    <r>
      <rPr>
        <b/>
        <sz val="10"/>
        <rFont val="Arial"/>
        <family val="0"/>
      </rPr>
      <t xml:space="preserve"> 10 </t>
    </r>
    <r>
      <rPr>
        <b/>
        <vertAlign val="superscript"/>
        <sz val="10"/>
        <rFont val="Arial"/>
        <family val="2"/>
      </rPr>
      <t>-11</t>
    </r>
    <r>
      <rPr>
        <b/>
        <sz val="10"/>
        <rFont val="Arial"/>
        <family val="0"/>
      </rPr>
      <t xml:space="preserve">  N </t>
    </r>
    <r>
      <rPr>
        <b/>
        <sz val="10"/>
        <rFont val="Symbol"/>
        <family val="1"/>
      </rPr>
      <t>×</t>
    </r>
    <r>
      <rPr>
        <b/>
        <sz val="10"/>
        <rFont val="Arial"/>
        <family val="0"/>
      </rPr>
      <t xml:space="preserve"> m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0"/>
      </rPr>
      <t xml:space="preserve"> / kg </t>
    </r>
    <r>
      <rPr>
        <b/>
        <vertAlign val="superscript"/>
        <sz val="10"/>
        <rFont val="Arial"/>
        <family val="2"/>
      </rPr>
      <t>2</t>
    </r>
  </si>
  <si>
    <t xml:space="preserve">costante gravitazionale:   G = </t>
  </si>
  <si>
    <t>velocità della luce:</t>
  </si>
  <si>
    <t>/ s</t>
  </si>
  <si>
    <r>
      <t xml:space="preserve">  2,99792458 </t>
    </r>
    <r>
      <rPr>
        <b/>
        <sz val="10"/>
        <rFont val="Symbol"/>
        <family val="1"/>
      </rPr>
      <t>×</t>
    </r>
    <r>
      <rPr>
        <b/>
        <sz val="10"/>
        <rFont val="Arial"/>
        <family val="0"/>
      </rPr>
      <t xml:space="preserve"> 10</t>
    </r>
    <r>
      <rPr>
        <b/>
        <vertAlign val="superscript"/>
        <sz val="10"/>
        <rFont val="Arial"/>
        <family val="2"/>
      </rPr>
      <t xml:space="preserve"> 8</t>
    </r>
    <r>
      <rPr>
        <b/>
        <sz val="10"/>
        <rFont val="Arial"/>
        <family val="0"/>
      </rPr>
      <t xml:space="preserve"> m /s</t>
    </r>
  </si>
  <si>
    <t>costante gas perfetti:        R =</t>
  </si>
  <si>
    <r>
      <t xml:space="preserve"> 8,31441 J / (mol </t>
    </r>
    <r>
      <rPr>
        <b/>
        <sz val="10"/>
        <rFont val="Symbol"/>
        <family val="1"/>
      </rPr>
      <t>×</t>
    </r>
    <r>
      <rPr>
        <b/>
        <sz val="10"/>
        <rFont val="Arial"/>
        <family val="0"/>
      </rPr>
      <t xml:space="preserve"> K)</t>
    </r>
  </si>
  <si>
    <t>numero di Avogadro :</t>
  </si>
  <si>
    <r>
      <t>C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H</t>
    </r>
    <r>
      <rPr>
        <vertAlign val="subscript"/>
        <sz val="8"/>
        <rFont val="Arial"/>
        <family val="2"/>
      </rPr>
      <t>5</t>
    </r>
    <r>
      <rPr>
        <sz val="8"/>
        <rFont val="Arial"/>
        <family val="0"/>
      </rPr>
      <t>OH</t>
    </r>
  </si>
  <si>
    <t>conduttività</t>
  </si>
  <si>
    <t>Mattoni</t>
  </si>
  <si>
    <t>Acqua di mare</t>
  </si>
  <si>
    <r>
      <t>(CH</t>
    </r>
    <r>
      <rPr>
        <vertAlign val="subscript"/>
        <sz val="8"/>
        <rFont val="Arial"/>
        <family val="2"/>
      </rPr>
      <t>3</t>
    </r>
    <r>
      <rPr>
        <sz val="8"/>
        <rFont val="Arial"/>
        <family val="0"/>
      </rPr>
      <t>)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 xml:space="preserve"> CO</t>
    </r>
  </si>
  <si>
    <r>
      <t>C</t>
    </r>
    <r>
      <rPr>
        <vertAlign val="subscript"/>
        <sz val="8"/>
        <rFont val="Arial"/>
        <family val="0"/>
      </rPr>
      <t>7</t>
    </r>
    <r>
      <rPr>
        <sz val="8"/>
        <rFont val="Arial"/>
        <family val="0"/>
      </rPr>
      <t>H</t>
    </r>
    <r>
      <rPr>
        <vertAlign val="subscript"/>
        <sz val="8"/>
        <rFont val="Arial"/>
        <family val="0"/>
      </rPr>
      <t>16</t>
    </r>
  </si>
  <si>
    <r>
      <t>C</t>
    </r>
    <r>
      <rPr>
        <vertAlign val="subscript"/>
        <sz val="8"/>
        <rFont val="Arial"/>
        <family val="0"/>
      </rPr>
      <t>6</t>
    </r>
    <r>
      <rPr>
        <sz val="8"/>
        <rFont val="Arial"/>
        <family val="0"/>
      </rPr>
      <t>H</t>
    </r>
    <r>
      <rPr>
        <vertAlign val="subscript"/>
        <sz val="8"/>
        <rFont val="Arial"/>
        <family val="0"/>
      </rPr>
      <t>14</t>
    </r>
  </si>
  <si>
    <r>
      <t>(C</t>
    </r>
    <r>
      <rPr>
        <vertAlign val="subscript"/>
        <sz val="8"/>
        <rFont val="Arial"/>
        <family val="0"/>
      </rPr>
      <t>2</t>
    </r>
    <r>
      <rPr>
        <sz val="8"/>
        <rFont val="Arial"/>
        <family val="0"/>
      </rPr>
      <t>H</t>
    </r>
    <r>
      <rPr>
        <vertAlign val="subscript"/>
        <sz val="8"/>
        <rFont val="Arial"/>
        <family val="0"/>
      </rPr>
      <t>5</t>
    </r>
    <r>
      <rPr>
        <sz val="8"/>
        <rFont val="Arial"/>
        <family val="0"/>
      </rPr>
      <t>)</t>
    </r>
    <r>
      <rPr>
        <vertAlign val="subscript"/>
        <sz val="8"/>
        <rFont val="Arial"/>
        <family val="0"/>
      </rPr>
      <t>2</t>
    </r>
    <r>
      <rPr>
        <sz val="8"/>
        <rFont val="Arial"/>
        <family val="0"/>
      </rPr>
      <t>O</t>
    </r>
  </si>
  <si>
    <r>
      <t>C</t>
    </r>
    <r>
      <rPr>
        <vertAlign val="subscript"/>
        <sz val="8"/>
        <rFont val="Arial"/>
        <family val="0"/>
      </rPr>
      <t>5</t>
    </r>
    <r>
      <rPr>
        <sz val="8"/>
        <rFont val="Arial"/>
        <family val="0"/>
      </rPr>
      <t>H</t>
    </r>
    <r>
      <rPr>
        <vertAlign val="subscript"/>
        <sz val="8"/>
        <rFont val="Arial"/>
        <family val="0"/>
      </rPr>
      <t>12</t>
    </r>
  </si>
  <si>
    <r>
      <t>C</t>
    </r>
    <r>
      <rPr>
        <vertAlign val="subscript"/>
        <sz val="8"/>
        <rFont val="Arial"/>
        <family val="0"/>
      </rPr>
      <t>8</t>
    </r>
    <r>
      <rPr>
        <sz val="8"/>
        <rFont val="Arial"/>
        <family val="0"/>
      </rPr>
      <t>H</t>
    </r>
    <r>
      <rPr>
        <vertAlign val="subscript"/>
        <sz val="8"/>
        <rFont val="Arial"/>
        <family val="0"/>
      </rPr>
      <t>18</t>
    </r>
  </si>
  <si>
    <t>1,3 - 1,5</t>
  </si>
  <si>
    <t>Granito</t>
  </si>
  <si>
    <t>Asfalto</t>
  </si>
  <si>
    <t>340 - 690</t>
  </si>
  <si>
    <r>
      <t xml:space="preserve"> 20             0,41·10</t>
    </r>
    <r>
      <rPr>
        <vertAlign val="superscript"/>
        <sz val="8"/>
        <rFont val="Arial"/>
        <family val="0"/>
      </rPr>
      <t>-3</t>
    </r>
  </si>
  <si>
    <r>
      <t xml:space="preserve"> 18            0,33·10</t>
    </r>
    <r>
      <rPr>
        <vertAlign val="superscript"/>
        <sz val="8"/>
        <rFont val="Arial"/>
        <family val="0"/>
      </rPr>
      <t>-3</t>
    </r>
  </si>
  <si>
    <r>
      <t xml:space="preserve"> 17            0,23·10</t>
    </r>
    <r>
      <rPr>
        <vertAlign val="superscript"/>
        <sz val="8"/>
        <rFont val="Arial"/>
        <family val="0"/>
      </rPr>
      <t>-3</t>
    </r>
  </si>
  <si>
    <r>
      <t xml:space="preserve"> 63          1490·10</t>
    </r>
    <r>
      <rPr>
        <vertAlign val="superscript"/>
        <sz val="8"/>
        <rFont val="Arial"/>
        <family val="0"/>
      </rPr>
      <t>-3</t>
    </r>
  </si>
  <si>
    <r>
      <t xml:space="preserve"> 16           0,24·10</t>
    </r>
    <r>
      <rPr>
        <vertAlign val="superscript"/>
        <sz val="8"/>
        <rFont val="Arial"/>
        <family val="0"/>
      </rPr>
      <t>-3</t>
    </r>
  </si>
  <si>
    <r>
      <t xml:space="preserve"> 22         0,54·10</t>
    </r>
    <r>
      <rPr>
        <vertAlign val="superscript"/>
        <sz val="8"/>
        <rFont val="Arial"/>
        <family val="0"/>
      </rPr>
      <t>-3</t>
    </r>
  </si>
  <si>
    <r>
      <t xml:space="preserve"> 24            0,34·10</t>
    </r>
    <r>
      <rPr>
        <vertAlign val="superscript"/>
        <sz val="8"/>
        <rFont val="Arial"/>
        <family val="0"/>
      </rPr>
      <t>-3</t>
    </r>
  </si>
  <si>
    <r>
      <t>H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O</t>
    </r>
  </si>
  <si>
    <t>0,998  (20°C)</t>
  </si>
  <si>
    <t>Latte</t>
  </si>
  <si>
    <t>1,028-1,035</t>
  </si>
  <si>
    <t>180 (cubico)</t>
  </si>
  <si>
    <r>
      <t xml:space="preserve"> 29,8          0,65 ·10</t>
    </r>
    <r>
      <rPr>
        <vertAlign val="superscript"/>
        <sz val="8"/>
        <rFont val="Arial"/>
        <family val="0"/>
      </rPr>
      <t>-3</t>
    </r>
  </si>
  <si>
    <r>
      <t>73            1·10</t>
    </r>
    <r>
      <rPr>
        <b/>
        <vertAlign val="superscript"/>
        <sz val="9"/>
        <rFont val="Arial"/>
        <family val="2"/>
      </rPr>
      <t>-3</t>
    </r>
  </si>
  <si>
    <r>
      <t>23           1,2·10</t>
    </r>
    <r>
      <rPr>
        <vertAlign val="superscript"/>
        <sz val="8"/>
        <rFont val="Arial"/>
        <family val="2"/>
      </rPr>
      <t>-3</t>
    </r>
  </si>
  <si>
    <t xml:space="preserve">Lat. fusione </t>
  </si>
  <si>
    <t>Lat. Vapor</t>
  </si>
  <si>
    <t>acqua pesante</t>
  </si>
  <si>
    <r>
      <t>D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0</t>
    </r>
  </si>
  <si>
    <t>E LATENTI</t>
  </si>
  <si>
    <t>SEMICONDUTT.</t>
  </si>
  <si>
    <t>(a 1atm)</t>
  </si>
  <si>
    <r>
      <t>C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4</t>
    </r>
  </si>
  <si>
    <t>VOLUM. *</t>
  </si>
  <si>
    <t>-141      3,77</t>
  </si>
  <si>
    <t>-147      3,39</t>
  </si>
  <si>
    <t>-118      5,06</t>
  </si>
  <si>
    <t>-82       4,64</t>
  </si>
  <si>
    <t>97         4,26</t>
  </si>
  <si>
    <t>10        5,07</t>
  </si>
  <si>
    <t>152         3,8</t>
  </si>
  <si>
    <t>36        6,26</t>
  </si>
  <si>
    <t>31        7,38</t>
  </si>
  <si>
    <t>144         7,7</t>
  </si>
  <si>
    <t>158       7,88</t>
  </si>
  <si>
    <t>132      11,3</t>
  </si>
  <si>
    <t>112      4,11</t>
  </si>
  <si>
    <t>-140       3,5</t>
  </si>
  <si>
    <t>-268      0,23</t>
  </si>
  <si>
    <t>-240      1,29</t>
  </si>
  <si>
    <t xml:space="preserve">COSTANTI  FONDAMENTALI  DELLA FISICA </t>
  </si>
  <si>
    <t>(vedi a lato)</t>
  </si>
  <si>
    <t>COSTANTI  FONDAMENTALI</t>
  </si>
  <si>
    <r>
      <t xml:space="preserve"> 1,602189 </t>
    </r>
    <r>
      <rPr>
        <b/>
        <sz val="10"/>
        <rFont val="Symbol"/>
        <family val="1"/>
      </rPr>
      <t>×</t>
    </r>
    <r>
      <rPr>
        <b/>
        <sz val="10"/>
        <rFont val="Arial"/>
        <family val="0"/>
      </rPr>
      <t xml:space="preserve"> 10 </t>
    </r>
    <r>
      <rPr>
        <b/>
        <vertAlign val="superscript"/>
        <sz val="10"/>
        <rFont val="Arial"/>
        <family val="2"/>
      </rPr>
      <t>-19</t>
    </r>
    <r>
      <rPr>
        <b/>
        <sz val="10"/>
        <rFont val="Arial"/>
        <family val="0"/>
      </rPr>
      <t xml:space="preserve"> C</t>
    </r>
  </si>
  <si>
    <r>
      <t xml:space="preserve">costante di Plank :            h =     6,626176 </t>
    </r>
    <r>
      <rPr>
        <b/>
        <sz val="10"/>
        <rFont val="Symbol"/>
        <family val="1"/>
      </rPr>
      <t>× 10</t>
    </r>
    <r>
      <rPr>
        <b/>
        <vertAlign val="superscript"/>
        <sz val="10"/>
        <rFont val="Symbol"/>
        <family val="1"/>
      </rPr>
      <t xml:space="preserve"> -34</t>
    </r>
    <r>
      <rPr>
        <b/>
        <sz val="10"/>
        <rFont val="Symbol"/>
        <family val="1"/>
      </rPr>
      <t xml:space="preserve">  </t>
    </r>
    <r>
      <rPr>
        <b/>
        <sz val="10"/>
        <rFont val="Arial"/>
        <family val="2"/>
      </rPr>
      <t>J</t>
    </r>
    <r>
      <rPr>
        <b/>
        <sz val="10"/>
        <rFont val="Symbol"/>
        <family val="1"/>
      </rPr>
      <t xml:space="preserve"> ×</t>
    </r>
    <r>
      <rPr>
        <b/>
        <sz val="10"/>
        <rFont val="Arial"/>
        <family val="0"/>
      </rPr>
      <t xml:space="preserve"> s</t>
    </r>
  </si>
  <si>
    <t>carica dell'elettrone  :     e  =</t>
  </si>
  <si>
    <r>
      <t xml:space="preserve"> 0,910953 </t>
    </r>
    <r>
      <rPr>
        <b/>
        <sz val="10"/>
        <rFont val="Symbol"/>
        <family val="1"/>
      </rPr>
      <t>×</t>
    </r>
    <r>
      <rPr>
        <b/>
        <sz val="10"/>
        <rFont val="Arial"/>
        <family val="0"/>
      </rPr>
      <t xml:space="preserve"> 10 </t>
    </r>
    <r>
      <rPr>
        <b/>
        <vertAlign val="superscript"/>
        <sz val="10"/>
        <rFont val="Arial"/>
        <family val="2"/>
      </rPr>
      <t>-30</t>
    </r>
    <r>
      <rPr>
        <b/>
        <sz val="10"/>
        <rFont val="Arial"/>
        <family val="0"/>
      </rPr>
      <t xml:space="preserve"> kg</t>
    </r>
  </si>
  <si>
    <r>
      <t>massa dell'elettrone  :   m</t>
    </r>
    <r>
      <rPr>
        <b/>
        <vertAlign val="subscript"/>
        <sz val="10"/>
        <rFont val="Arial"/>
        <family val="2"/>
      </rPr>
      <t>e</t>
    </r>
    <r>
      <rPr>
        <b/>
        <sz val="10"/>
        <rFont val="Arial"/>
        <family val="0"/>
      </rPr>
      <t xml:space="preserve">  =</t>
    </r>
  </si>
  <si>
    <r>
      <t xml:space="preserve"> 1,672648 </t>
    </r>
    <r>
      <rPr>
        <b/>
        <sz val="10"/>
        <rFont val="Symbol"/>
        <family val="1"/>
      </rPr>
      <t>×</t>
    </r>
    <r>
      <rPr>
        <b/>
        <sz val="10"/>
        <rFont val="Arial"/>
        <family val="0"/>
      </rPr>
      <t xml:space="preserve"> 10 </t>
    </r>
    <r>
      <rPr>
        <b/>
        <vertAlign val="superscript"/>
        <sz val="10"/>
        <rFont val="Arial"/>
        <family val="2"/>
      </rPr>
      <t>-27</t>
    </r>
    <r>
      <rPr>
        <b/>
        <sz val="10"/>
        <rFont val="Arial"/>
        <family val="0"/>
      </rPr>
      <t xml:space="preserve"> kg</t>
    </r>
  </si>
  <si>
    <r>
      <t>massa del protone  :      m</t>
    </r>
    <r>
      <rPr>
        <b/>
        <vertAlign val="subscript"/>
        <sz val="10"/>
        <rFont val="Arial"/>
        <family val="2"/>
      </rPr>
      <t>p</t>
    </r>
    <r>
      <rPr>
        <b/>
        <sz val="10"/>
        <rFont val="Arial"/>
        <family val="0"/>
      </rPr>
      <t xml:space="preserve">  =</t>
    </r>
  </si>
  <si>
    <r>
      <t>massa del neutrone  :    m</t>
    </r>
    <r>
      <rPr>
        <b/>
        <vertAlign val="subscript"/>
        <sz val="10"/>
        <rFont val="Arial"/>
        <family val="2"/>
      </rPr>
      <t>n</t>
    </r>
    <r>
      <rPr>
        <b/>
        <sz val="10"/>
        <rFont val="Arial"/>
        <family val="0"/>
      </rPr>
      <t xml:space="preserve">  =</t>
    </r>
  </si>
  <si>
    <r>
      <t xml:space="preserve"> 1,674954 </t>
    </r>
    <r>
      <rPr>
        <b/>
        <sz val="10"/>
        <rFont val="Symbol"/>
        <family val="1"/>
      </rPr>
      <t>×</t>
    </r>
    <r>
      <rPr>
        <b/>
        <sz val="10"/>
        <rFont val="Arial"/>
        <family val="0"/>
      </rPr>
      <t xml:space="preserve"> 10 </t>
    </r>
    <r>
      <rPr>
        <b/>
        <vertAlign val="superscript"/>
        <sz val="10"/>
        <rFont val="Arial"/>
        <family val="2"/>
      </rPr>
      <t>-27</t>
    </r>
    <r>
      <rPr>
        <b/>
        <sz val="10"/>
        <rFont val="Arial"/>
        <family val="0"/>
      </rPr>
      <t xml:space="preserve"> kg</t>
    </r>
  </si>
  <si>
    <r>
      <t>=  1836,152  m</t>
    </r>
    <r>
      <rPr>
        <b/>
        <vertAlign val="sub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</t>
    </r>
  </si>
  <si>
    <r>
      <t>=  1,00137865 m</t>
    </r>
    <r>
      <rPr>
        <b/>
        <vertAlign val="subscript"/>
        <sz val="10"/>
        <rFont val="Arial"/>
        <family val="2"/>
      </rPr>
      <t>p</t>
    </r>
  </si>
  <si>
    <t>raggio atomo di Bohr:     r    =</t>
  </si>
  <si>
    <r>
      <t xml:space="preserve">costante di Wien:   </t>
    </r>
    <r>
      <rPr>
        <b/>
        <sz val="10"/>
        <rFont val="Symbol"/>
        <family val="1"/>
      </rPr>
      <t xml:space="preserve">l 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0"/>
      </rPr>
      <t xml:space="preserve"> </t>
    </r>
    <r>
      <rPr>
        <b/>
        <sz val="10"/>
        <rFont val="Symbol"/>
        <family val="1"/>
      </rPr>
      <t>×</t>
    </r>
    <r>
      <rPr>
        <b/>
        <sz val="10"/>
        <rFont val="Arial"/>
        <family val="0"/>
      </rPr>
      <t xml:space="preserve"> T   =</t>
    </r>
  </si>
  <si>
    <r>
      <t>costante di Coulomb  :    k</t>
    </r>
    <r>
      <rPr>
        <b/>
        <vertAlign val="subscript"/>
        <sz val="10"/>
        <rFont val="Arial"/>
        <family val="2"/>
      </rPr>
      <t>C</t>
    </r>
    <r>
      <rPr>
        <b/>
        <sz val="10"/>
        <rFont val="Arial"/>
        <family val="0"/>
      </rPr>
      <t xml:space="preserve">   =</t>
    </r>
  </si>
  <si>
    <r>
      <t xml:space="preserve"> 8,987552 </t>
    </r>
    <r>
      <rPr>
        <b/>
        <sz val="10"/>
        <rFont val="Symbol"/>
        <family val="1"/>
      </rPr>
      <t>×</t>
    </r>
    <r>
      <rPr>
        <b/>
        <sz val="10"/>
        <rFont val="Arial"/>
        <family val="0"/>
      </rPr>
      <t xml:space="preserve"> 10 </t>
    </r>
    <r>
      <rPr>
        <b/>
        <vertAlign val="superscript"/>
        <sz val="10"/>
        <rFont val="Arial"/>
        <family val="2"/>
      </rPr>
      <t>10</t>
    </r>
    <r>
      <rPr>
        <b/>
        <sz val="10"/>
        <rFont val="Arial"/>
        <family val="0"/>
      </rPr>
      <t xml:space="preserve"> N </t>
    </r>
    <r>
      <rPr>
        <b/>
        <sz val="10"/>
        <rFont val="Symbol"/>
        <family val="1"/>
      </rPr>
      <t>×</t>
    </r>
    <r>
      <rPr>
        <b/>
        <sz val="10"/>
        <rFont val="Arial"/>
        <family val="0"/>
      </rPr>
      <t xml:space="preserve"> m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0"/>
      </rPr>
      <t xml:space="preserve"> / C </t>
    </r>
    <r>
      <rPr>
        <b/>
        <vertAlign val="superscript"/>
        <sz val="10"/>
        <rFont val="Arial"/>
        <family val="2"/>
      </rPr>
      <t>2</t>
    </r>
  </si>
  <si>
    <r>
      <t xml:space="preserve"> 8,8541878 </t>
    </r>
    <r>
      <rPr>
        <b/>
        <sz val="10"/>
        <rFont val="Symbol"/>
        <family val="1"/>
      </rPr>
      <t>×</t>
    </r>
    <r>
      <rPr>
        <b/>
        <sz val="10"/>
        <rFont val="Arial"/>
        <family val="0"/>
      </rPr>
      <t xml:space="preserve"> 10 </t>
    </r>
    <r>
      <rPr>
        <b/>
        <vertAlign val="superscript"/>
        <sz val="10"/>
        <rFont val="Arial"/>
        <family val="2"/>
      </rPr>
      <t>-12</t>
    </r>
    <r>
      <rPr>
        <b/>
        <sz val="10"/>
        <rFont val="Arial"/>
        <family val="0"/>
      </rPr>
      <t xml:space="preserve">  F / m</t>
    </r>
  </si>
  <si>
    <r>
      <t xml:space="preserve">permettività del vuoto:  </t>
    </r>
    <r>
      <rPr>
        <b/>
        <sz val="10"/>
        <rFont val="Symbol"/>
        <family val="1"/>
      </rPr>
      <t>e</t>
    </r>
    <r>
      <rPr>
        <b/>
        <sz val="10"/>
        <rFont val="Arial"/>
        <family val="0"/>
      </rPr>
      <t xml:space="preserve"> 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0"/>
      </rPr>
      <t xml:space="preserve">    =    1 / (4 </t>
    </r>
    <r>
      <rPr>
        <b/>
        <sz val="10"/>
        <rFont val="Symbol"/>
        <family val="1"/>
      </rPr>
      <t>p</t>
    </r>
    <r>
      <rPr>
        <b/>
        <sz val="10"/>
        <rFont val="Arial"/>
        <family val="0"/>
      </rPr>
      <t xml:space="preserve"> k </t>
    </r>
    <r>
      <rPr>
        <b/>
        <vertAlign val="subscript"/>
        <sz val="10"/>
        <rFont val="Arial"/>
        <family val="2"/>
      </rPr>
      <t xml:space="preserve">c </t>
    </r>
    <r>
      <rPr>
        <b/>
        <sz val="10"/>
        <rFont val="Arial"/>
        <family val="0"/>
      </rPr>
      <t xml:space="preserve">) = </t>
    </r>
  </si>
  <si>
    <r>
      <t xml:space="preserve">permeabilità del vuoto: </t>
    </r>
    <r>
      <rPr>
        <b/>
        <sz val="10"/>
        <rFont val="Symbol"/>
        <family val="1"/>
      </rPr>
      <t>m</t>
    </r>
    <r>
      <rPr>
        <b/>
        <vertAlign val="subscript"/>
        <sz val="10"/>
        <rFont val="Arial"/>
        <family val="2"/>
      </rPr>
      <t xml:space="preserve"> 0</t>
    </r>
    <r>
      <rPr>
        <b/>
        <sz val="10"/>
        <rFont val="Arial"/>
        <family val="0"/>
      </rPr>
      <t xml:space="preserve">   =  4 </t>
    </r>
    <r>
      <rPr>
        <b/>
        <sz val="10"/>
        <rFont val="Symbol"/>
        <family val="1"/>
      </rPr>
      <t>p</t>
    </r>
    <r>
      <rPr>
        <b/>
        <sz val="10"/>
        <rFont val="Arial"/>
        <family val="0"/>
      </rPr>
      <t xml:space="preserve"> </t>
    </r>
    <r>
      <rPr>
        <b/>
        <sz val="10"/>
        <rFont val="Symbol"/>
        <family val="1"/>
      </rPr>
      <t>×</t>
    </r>
    <r>
      <rPr>
        <b/>
        <sz val="10"/>
        <rFont val="Arial"/>
        <family val="0"/>
      </rPr>
      <t xml:space="preserve"> 10 </t>
    </r>
    <r>
      <rPr>
        <b/>
        <vertAlign val="superscript"/>
        <sz val="10"/>
        <rFont val="Arial"/>
        <family val="2"/>
      </rPr>
      <t>-7</t>
    </r>
    <r>
      <rPr>
        <b/>
        <sz val="10"/>
        <rFont val="Arial"/>
        <family val="0"/>
      </rPr>
      <t xml:space="preserve"> H / m = </t>
    </r>
  </si>
  <si>
    <r>
      <t xml:space="preserve"> = 12,56637061   10</t>
    </r>
    <r>
      <rPr>
        <b/>
        <vertAlign val="superscript"/>
        <sz val="10"/>
        <rFont val="Arial"/>
        <family val="2"/>
      </rPr>
      <t xml:space="preserve"> -7</t>
    </r>
    <r>
      <rPr>
        <b/>
        <sz val="10"/>
        <rFont val="Arial"/>
        <family val="0"/>
      </rPr>
      <t xml:space="preserve"> H / m</t>
    </r>
  </si>
  <si>
    <r>
      <t xml:space="preserve"> 5,292 </t>
    </r>
    <r>
      <rPr>
        <b/>
        <sz val="10"/>
        <rFont val="Symbol"/>
        <family val="1"/>
      </rPr>
      <t>×</t>
    </r>
    <r>
      <rPr>
        <b/>
        <sz val="10"/>
        <rFont val="Arial"/>
        <family val="0"/>
      </rPr>
      <t xml:space="preserve"> 10 </t>
    </r>
    <r>
      <rPr>
        <b/>
        <vertAlign val="superscript"/>
        <sz val="10"/>
        <rFont val="Arial"/>
        <family val="2"/>
      </rPr>
      <t>-11</t>
    </r>
    <r>
      <rPr>
        <b/>
        <sz val="10"/>
        <rFont val="Arial"/>
        <family val="0"/>
      </rPr>
      <t xml:space="preserve"> m   ( </t>
    </r>
    <r>
      <rPr>
        <b/>
        <sz val="10"/>
        <rFont val="Symbol"/>
        <family val="1"/>
      </rPr>
      <t>»</t>
    </r>
    <r>
      <rPr>
        <b/>
        <sz val="10"/>
        <rFont val="Arial"/>
        <family val="0"/>
      </rPr>
      <t xml:space="preserve"> 53 pm )</t>
    </r>
  </si>
  <si>
    <r>
      <t xml:space="preserve"> 1,09737318 </t>
    </r>
    <r>
      <rPr>
        <b/>
        <sz val="10"/>
        <rFont val="Symbol"/>
        <family val="1"/>
      </rPr>
      <t>×</t>
    </r>
    <r>
      <rPr>
        <b/>
        <sz val="10"/>
        <rFont val="Arial"/>
        <family val="0"/>
      </rPr>
      <t xml:space="preserve"> 10</t>
    </r>
    <r>
      <rPr>
        <b/>
        <vertAlign val="superscript"/>
        <sz val="10"/>
        <rFont val="Arial"/>
        <family val="2"/>
      </rPr>
      <t xml:space="preserve"> 7</t>
    </r>
    <r>
      <rPr>
        <b/>
        <sz val="10"/>
        <rFont val="Arial"/>
        <family val="0"/>
      </rPr>
      <t xml:space="preserve">  m</t>
    </r>
    <r>
      <rPr>
        <b/>
        <vertAlign val="superscript"/>
        <sz val="10"/>
        <rFont val="Arial"/>
        <family val="2"/>
      </rPr>
      <t>-1</t>
    </r>
  </si>
  <si>
    <t>Vale inoltre la formula:</t>
  </si>
  <si>
    <r>
      <t>g = (9,80612 - 0,025865 cos 2</t>
    </r>
    <r>
      <rPr>
        <sz val="10"/>
        <rFont val="Symbol"/>
        <family val="1"/>
      </rPr>
      <t>j</t>
    </r>
    <r>
      <rPr>
        <sz val="10"/>
        <rFont val="Arial"/>
        <family val="0"/>
      </rPr>
      <t xml:space="preserve"> + 0,000058 cos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2</t>
    </r>
    <r>
      <rPr>
        <sz val="10"/>
        <rFont val="Symbol"/>
        <family val="1"/>
      </rPr>
      <t>j</t>
    </r>
    <r>
      <rPr>
        <sz val="10"/>
        <rFont val="Arial"/>
        <family val="0"/>
      </rPr>
      <t xml:space="preserve"> - 0,00000308 h)</t>
    </r>
  </si>
  <si>
    <r>
      <t>m s</t>
    </r>
    <r>
      <rPr>
        <vertAlign val="superscript"/>
        <sz val="10"/>
        <rFont val="Arial"/>
        <family val="2"/>
      </rPr>
      <t xml:space="preserve"> -2</t>
    </r>
  </si>
  <si>
    <r>
      <t xml:space="preserve">essendo  </t>
    </r>
    <r>
      <rPr>
        <sz val="10"/>
        <rFont val="Symbol"/>
        <family val="1"/>
      </rPr>
      <t>j</t>
    </r>
    <r>
      <rPr>
        <sz val="10"/>
        <rFont val="Arial"/>
        <family val="0"/>
      </rPr>
      <t xml:space="preserve"> la la latitudine del luogo considerato e h la sua altitudine in metri.</t>
    </r>
  </si>
  <si>
    <r>
      <t>( per l'Italia : g  = 9,80 N /kg  = 9,80 m / s</t>
    </r>
    <r>
      <rPr>
        <vertAlign val="superscript"/>
        <sz val="10"/>
        <rFont val="Arial"/>
        <family val="2"/>
      </rPr>
      <t xml:space="preserve">-2 </t>
    </r>
    <r>
      <rPr>
        <sz val="10"/>
        <rFont val="Arial"/>
        <family val="2"/>
      </rPr>
      <t>).</t>
    </r>
  </si>
  <si>
    <r>
      <t xml:space="preserve">0° C  =  273,15  K         </t>
    </r>
    <r>
      <rPr>
        <b/>
        <sz val="10"/>
        <rFont val="Arial"/>
        <family val="2"/>
      </rPr>
      <t xml:space="preserve"> </t>
    </r>
  </si>
  <si>
    <t>p     =   3,141592654</t>
  </si>
  <si>
    <r>
      <t xml:space="preserve">Per Torino, assumendo </t>
    </r>
    <r>
      <rPr>
        <sz val="10"/>
        <rFont val="Symbol"/>
        <family val="1"/>
      </rPr>
      <t>j</t>
    </r>
    <r>
      <rPr>
        <sz val="10"/>
        <rFont val="Arial"/>
        <family val="0"/>
      </rPr>
      <t xml:space="preserve"> = 45° e 200 m &lt; h &lt; 250 m,  risulta g = 9,8055 m s </t>
    </r>
    <r>
      <rPr>
        <vertAlign val="superscript"/>
        <sz val="10"/>
        <rFont val="Arial"/>
        <family val="2"/>
      </rPr>
      <t>-2</t>
    </r>
    <r>
      <rPr>
        <sz val="10"/>
        <rFont val="Arial"/>
        <family val="0"/>
      </rPr>
      <t xml:space="preserve"> </t>
    </r>
  </si>
  <si>
    <r>
      <t xml:space="preserve">W /( m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0"/>
      </rPr>
      <t xml:space="preserve"> </t>
    </r>
    <r>
      <rPr>
        <b/>
        <sz val="10"/>
        <rFont val="Symbol"/>
        <family val="1"/>
      </rPr>
      <t>×</t>
    </r>
    <r>
      <rPr>
        <b/>
        <sz val="10"/>
        <rFont val="Arial"/>
        <family val="0"/>
      </rPr>
      <t xml:space="preserve"> K </t>
    </r>
    <r>
      <rPr>
        <b/>
        <vertAlign val="superscript"/>
        <sz val="10"/>
        <rFont val="Arial"/>
        <family val="2"/>
      </rPr>
      <t>4 )</t>
    </r>
  </si>
  <si>
    <r>
      <t xml:space="preserve">46 </t>
    </r>
    <r>
      <rPr>
        <sz val="8"/>
        <rFont val="Symbol"/>
        <family val="1"/>
      </rPr>
      <t>×</t>
    </r>
    <r>
      <rPr>
        <sz val="8"/>
        <rFont val="Arial"/>
        <family val="2"/>
      </rPr>
      <t xml:space="preserve"> 10 </t>
    </r>
    <r>
      <rPr>
        <vertAlign val="superscript"/>
        <sz val="8"/>
        <rFont val="Arial"/>
        <family val="2"/>
      </rPr>
      <t>6</t>
    </r>
  </si>
  <si>
    <t>7 - 7,2</t>
  </si>
  <si>
    <t>7 - 12</t>
  </si>
  <si>
    <t>Ghisa ( &gt; 2%C)</t>
  </si>
  <si>
    <t>COND.  CALO</t>
  </si>
  <si>
    <t>RE  E  ELETTR.</t>
  </si>
  <si>
    <t>Resist. - Coeff.</t>
  </si>
  <si>
    <r>
      <t xml:space="preserve">costante di Rydberg  :   R </t>
    </r>
    <r>
      <rPr>
        <b/>
        <sz val="10"/>
        <rFont val="Symbol"/>
        <family val="1"/>
      </rPr>
      <t>¥</t>
    </r>
    <r>
      <rPr>
        <b/>
        <sz val="10"/>
        <rFont val="Arial"/>
        <family val="0"/>
      </rPr>
      <t xml:space="preserve">  =</t>
    </r>
  </si>
  <si>
    <t>valor normale dell'accelerazione di gravità : g  =  9,80665 N / kg</t>
  </si>
  <si>
    <r>
      <t>v</t>
    </r>
    <r>
      <rPr>
        <b/>
        <sz val="10"/>
        <rFont val="Arial"/>
        <family val="2"/>
      </rPr>
      <t>alore normale della pressione atmosferica:  p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  = 101325 Pa</t>
    </r>
  </si>
  <si>
    <t>TENS.  VAP.</t>
  </si>
  <si>
    <t>Prop. liq. (GPL)</t>
  </si>
  <si>
    <t>Polietilene</t>
  </si>
  <si>
    <t>0,94  -0,97</t>
  </si>
  <si>
    <t>Polivinile PVC</t>
  </si>
  <si>
    <r>
      <t>CH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=CHCl</t>
    </r>
  </si>
  <si>
    <t>2,5 - 2,8</t>
  </si>
  <si>
    <t>15 - 48</t>
  </si>
  <si>
    <t>0,19 - 0, 21</t>
  </si>
  <si>
    <t>Vetro crown</t>
  </si>
  <si>
    <t>Vetro flint</t>
  </si>
  <si>
    <t>Vetro pyrex</t>
  </si>
  <si>
    <t>Sughero</t>
  </si>
  <si>
    <t>Terra (asciutta)</t>
  </si>
  <si>
    <t xml:space="preserve"> 0,4 - 0,5</t>
  </si>
  <si>
    <t>1,3 - 2</t>
  </si>
  <si>
    <t>Vetro comune</t>
  </si>
  <si>
    <t>0,52 - 0, 59</t>
  </si>
  <si>
    <t>0,5 - 1</t>
  </si>
  <si>
    <t>0,03 - 0,05</t>
  </si>
  <si>
    <t>0,69 - 0,86</t>
  </si>
  <si>
    <t>Ottone (giallo)</t>
  </si>
  <si>
    <t>(38 % Zn)</t>
  </si>
  <si>
    <t>chiara)</t>
  </si>
  <si>
    <t>Gomma (vulcan.</t>
  </si>
  <si>
    <t>Teflon</t>
  </si>
  <si>
    <r>
      <t>CF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=CF</t>
    </r>
    <r>
      <rPr>
        <vertAlign val="subscript"/>
        <sz val="8"/>
        <rFont val="Arial"/>
        <family val="2"/>
      </rPr>
      <t>2</t>
    </r>
  </si>
  <si>
    <r>
      <t>CH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=CH</t>
    </r>
    <r>
      <rPr>
        <vertAlign val="subscript"/>
        <sz val="8"/>
        <rFont val="Arial"/>
        <family val="2"/>
      </rPr>
      <t>2</t>
    </r>
    <r>
      <rPr>
        <vertAlign val="superscript"/>
        <sz val="8"/>
        <rFont val="Arial"/>
        <family val="2"/>
      </rPr>
      <t>*</t>
    </r>
  </si>
  <si>
    <t>* monom.</t>
  </si>
  <si>
    <t>3,2  -  4</t>
  </si>
  <si>
    <t>4  -  4,6</t>
  </si>
  <si>
    <t>1,59  - 1,6</t>
  </si>
  <si>
    <t>1,3 - 1,4</t>
  </si>
  <si>
    <t>1,25 - 1,39</t>
  </si>
  <si>
    <t>1,13 -1,15</t>
  </si>
  <si>
    <t>1,04 - 1,08</t>
  </si>
  <si>
    <t>2,1 - 2,3</t>
  </si>
  <si>
    <r>
      <t xml:space="preserve">&gt; 10 </t>
    </r>
    <r>
      <rPr>
        <vertAlign val="superscript"/>
        <sz val="8"/>
        <rFont val="Arial"/>
        <family val="0"/>
      </rPr>
      <t>10</t>
    </r>
  </si>
  <si>
    <t>60 - 80</t>
  </si>
  <si>
    <t>2,9       3,56</t>
  </si>
  <si>
    <t>1,541       1,612</t>
  </si>
  <si>
    <t>leg.  pes.</t>
  </si>
  <si>
    <t>1,578        1,613</t>
  </si>
  <si>
    <t>bott.  fin.</t>
  </si>
  <si>
    <t>3,26    3,55</t>
  </si>
  <si>
    <t>2,49     2,46</t>
  </si>
  <si>
    <t>1,52          1,51</t>
  </si>
  <si>
    <t>24,6        19,2</t>
  </si>
  <si>
    <t>24            25,8</t>
  </si>
  <si>
    <r>
      <t xml:space="preserve">10 </t>
    </r>
    <r>
      <rPr>
        <vertAlign val="superscript"/>
        <sz val="8"/>
        <rFont val="Arial"/>
        <family val="2"/>
      </rPr>
      <t>7</t>
    </r>
    <r>
      <rPr>
        <sz val="8"/>
        <rFont val="Arial"/>
        <family val="0"/>
      </rPr>
      <t xml:space="preserve">         3</t>
    </r>
    <r>
      <rPr>
        <sz val="8"/>
        <rFont val="Symbol"/>
        <family val="1"/>
      </rPr>
      <t>×</t>
    </r>
    <r>
      <rPr>
        <sz val="8"/>
        <rFont val="Arial"/>
        <family val="0"/>
      </rPr>
      <t xml:space="preserve"> 10 </t>
    </r>
    <r>
      <rPr>
        <vertAlign val="superscript"/>
        <sz val="8"/>
        <rFont val="Arial"/>
        <family val="2"/>
      </rPr>
      <t>6</t>
    </r>
  </si>
  <si>
    <t>7,6           7</t>
  </si>
  <si>
    <t>6,9         8,2</t>
  </si>
  <si>
    <t>6,6         7,4</t>
  </si>
  <si>
    <t>4,6</t>
  </si>
  <si>
    <t>73                      79</t>
  </si>
  <si>
    <t>60                         56</t>
  </si>
  <si>
    <t>2,8  -   4,1</t>
  </si>
  <si>
    <t>0,1   -   1,1</t>
  </si>
  <si>
    <t>1,38   -  4,14</t>
  </si>
  <si>
    <t>2,4  -   3,5</t>
  </si>
  <si>
    <t>1,48  -  1,5</t>
  </si>
  <si>
    <t>111 (0°C)</t>
  </si>
  <si>
    <t>0,49 (0°C)</t>
  </si>
  <si>
    <t>2,6 - 3</t>
  </si>
  <si>
    <t>0,917 (0°C)</t>
  </si>
  <si>
    <t>0,9 - 0,95</t>
  </si>
  <si>
    <t>1,4 - 2</t>
  </si>
  <si>
    <t>2,6 - 3,2</t>
  </si>
  <si>
    <t>24 - 30</t>
  </si>
  <si>
    <t>27 - 39</t>
  </si>
  <si>
    <t>0,8 - 0,9</t>
  </si>
  <si>
    <t>2,3 -2,5</t>
  </si>
  <si>
    <t>Sabbia</t>
  </si>
  <si>
    <t>(asciutta)</t>
  </si>
  <si>
    <t>?1,5 - 1,6</t>
  </si>
  <si>
    <t>12 - 16</t>
  </si>
  <si>
    <t>0,86 - 1,46</t>
  </si>
  <si>
    <t>Acciaio (0,85%C)</t>
  </si>
  <si>
    <t>mmHg (25°C)</t>
  </si>
  <si>
    <t>Alcool metilico</t>
  </si>
  <si>
    <r>
      <t>CH</t>
    </r>
    <r>
      <rPr>
        <vertAlign val="subscript"/>
        <sz val="8"/>
        <rFont val="Arial"/>
        <family val="2"/>
      </rPr>
      <t>3</t>
    </r>
    <r>
      <rPr>
        <sz val="8"/>
        <rFont val="Arial"/>
        <family val="0"/>
      </rPr>
      <t>OH</t>
    </r>
  </si>
  <si>
    <r>
      <t>23           0,6·10</t>
    </r>
    <r>
      <rPr>
        <vertAlign val="superscript"/>
        <sz val="8"/>
        <rFont val="Arial"/>
        <family val="2"/>
      </rPr>
      <t>-3</t>
    </r>
  </si>
  <si>
    <t>Raggio atom. r ;</t>
  </si>
  <si>
    <r>
      <t xml:space="preserve"> ionico:  10</t>
    </r>
    <r>
      <rPr>
        <b/>
        <vertAlign val="superscript"/>
        <sz val="8"/>
        <rFont val="Arial"/>
        <family val="2"/>
      </rPr>
      <t>-12</t>
    </r>
    <r>
      <rPr>
        <b/>
        <sz val="8"/>
        <rFont val="Arial"/>
        <family val="2"/>
      </rPr>
      <t xml:space="preserve"> m;</t>
    </r>
  </si>
  <si>
    <r>
      <t xml:space="preserve">     10,2·10</t>
    </r>
    <r>
      <rPr>
        <vertAlign val="superscript"/>
        <sz val="8"/>
        <rFont val="Arial"/>
        <family val="2"/>
      </rPr>
      <t xml:space="preserve">-6 </t>
    </r>
    <r>
      <rPr>
        <sz val="8"/>
        <rFont val="Arial"/>
        <family val="2"/>
      </rPr>
      <t>(27° C)</t>
    </r>
  </si>
  <si>
    <r>
      <t xml:space="preserve">     9,8·10</t>
    </r>
    <r>
      <rPr>
        <vertAlign val="superscript"/>
        <sz val="8"/>
        <rFont val="Arial"/>
        <family val="2"/>
      </rPr>
      <t xml:space="preserve">-6 </t>
    </r>
  </si>
  <si>
    <r>
      <t xml:space="preserve">     14,7·10</t>
    </r>
    <r>
      <rPr>
        <vertAlign val="superscript"/>
        <sz val="8"/>
        <rFont val="Arial"/>
        <family val="2"/>
      </rPr>
      <t xml:space="preserve">-6 </t>
    </r>
  </si>
  <si>
    <r>
      <t xml:space="preserve">     18,2·10</t>
    </r>
    <r>
      <rPr>
        <vertAlign val="superscript"/>
        <sz val="8"/>
        <rFont val="Arial"/>
        <family val="2"/>
      </rPr>
      <t>-7</t>
    </r>
  </si>
  <si>
    <r>
      <t>70; 171(- - -);17,6·10</t>
    </r>
    <r>
      <rPr>
        <vertAlign val="superscript"/>
        <sz val="8"/>
        <rFont val="Arial"/>
        <family val="2"/>
      </rPr>
      <t>-6</t>
    </r>
    <r>
      <rPr>
        <sz val="8"/>
        <rFont val="Arial"/>
        <family val="2"/>
      </rPr>
      <t xml:space="preserve"> </t>
    </r>
  </si>
  <si>
    <r>
      <t>66; 146(-  -); 20,4·10</t>
    </r>
    <r>
      <rPr>
        <vertAlign val="superscript"/>
        <sz val="8"/>
        <rFont val="Arial"/>
        <family val="2"/>
      </rPr>
      <t>-6</t>
    </r>
    <r>
      <rPr>
        <sz val="8"/>
        <rFont val="Arial"/>
        <family val="2"/>
      </rPr>
      <t xml:space="preserve"> </t>
    </r>
  </si>
  <si>
    <r>
      <t>37; 154( -);     8,8·10</t>
    </r>
    <r>
      <rPr>
        <vertAlign val="superscript"/>
        <sz val="8"/>
        <rFont val="Arial"/>
        <family val="2"/>
      </rPr>
      <t>-6</t>
    </r>
    <r>
      <rPr>
        <sz val="8"/>
        <rFont val="Arial"/>
        <family val="2"/>
      </rPr>
      <t xml:space="preserve"> </t>
    </r>
  </si>
  <si>
    <r>
      <t>99; 181(-);    13,2·10</t>
    </r>
    <r>
      <rPr>
        <vertAlign val="superscript"/>
        <sz val="8"/>
        <rFont val="Arial"/>
        <family val="2"/>
      </rPr>
      <t>-6</t>
    </r>
    <r>
      <rPr>
        <sz val="8"/>
        <rFont val="Arial"/>
        <family val="2"/>
      </rPr>
      <t xml:space="preserve"> </t>
    </r>
  </si>
  <si>
    <r>
      <t xml:space="preserve">     12,7·10</t>
    </r>
    <r>
      <rPr>
        <vertAlign val="superscript"/>
        <sz val="8"/>
        <rFont val="Arial"/>
        <family val="2"/>
      </rPr>
      <t xml:space="preserve">-6 </t>
    </r>
    <r>
      <rPr>
        <sz val="8"/>
        <rFont val="Arial"/>
        <family val="2"/>
      </rPr>
      <t>(30° C)</t>
    </r>
  </si>
  <si>
    <r>
      <t xml:space="preserve">     12,6·10</t>
    </r>
    <r>
      <rPr>
        <vertAlign val="superscript"/>
        <sz val="8"/>
        <rFont val="Arial"/>
        <family val="2"/>
      </rPr>
      <t xml:space="preserve">-6 </t>
    </r>
  </si>
  <si>
    <r>
      <t xml:space="preserve">     17,5·10</t>
    </r>
    <r>
      <rPr>
        <vertAlign val="superscript"/>
        <sz val="8"/>
        <rFont val="Arial"/>
        <family val="2"/>
      </rPr>
      <t xml:space="preserve">-6 </t>
    </r>
  </si>
  <si>
    <r>
      <t>99;                19,6·10</t>
    </r>
    <r>
      <rPr>
        <vertAlign val="superscript"/>
        <sz val="8"/>
        <rFont val="Arial"/>
        <family val="2"/>
      </rPr>
      <t>-6</t>
    </r>
    <r>
      <rPr>
        <sz val="8"/>
        <rFont val="Arial"/>
        <family val="2"/>
      </rPr>
      <t xml:space="preserve"> </t>
    </r>
  </si>
  <si>
    <r>
      <t xml:space="preserve">     11·10</t>
    </r>
    <r>
      <rPr>
        <vertAlign val="superscript"/>
        <sz val="8"/>
        <rFont val="Arial"/>
        <family val="2"/>
      </rPr>
      <t xml:space="preserve">-6 </t>
    </r>
  </si>
  <si>
    <r>
      <t xml:space="preserve">     9,2·10</t>
    </r>
    <r>
      <rPr>
        <vertAlign val="superscript"/>
        <sz val="8"/>
        <rFont val="Arial"/>
        <family val="2"/>
      </rPr>
      <t xml:space="preserve">-6 </t>
    </r>
  </si>
  <si>
    <r>
      <t xml:space="preserve">     10·10</t>
    </r>
    <r>
      <rPr>
        <vertAlign val="superscript"/>
        <sz val="8"/>
        <rFont val="Arial"/>
        <family val="2"/>
      </rPr>
      <t xml:space="preserve">-6 </t>
    </r>
  </si>
  <si>
    <r>
      <t xml:space="preserve">     8,1·10</t>
    </r>
    <r>
      <rPr>
        <vertAlign val="superscript"/>
        <sz val="8"/>
        <rFont val="Arial"/>
        <family val="2"/>
      </rPr>
      <t xml:space="preserve">-6 </t>
    </r>
  </si>
  <si>
    <r>
      <t xml:space="preserve">     8,3·10</t>
    </r>
    <r>
      <rPr>
        <vertAlign val="superscript"/>
        <sz val="8"/>
        <rFont val="Arial"/>
        <family val="2"/>
      </rPr>
      <t xml:space="preserve">-6   </t>
    </r>
    <r>
      <rPr>
        <sz val="8"/>
        <rFont val="Arial"/>
        <family val="2"/>
      </rPr>
      <t>(16° C)</t>
    </r>
  </si>
  <si>
    <r>
      <t>VISC. η:  Pa</t>
    </r>
    <r>
      <rPr>
        <b/>
        <sz val="8"/>
        <rFont val="Symbol"/>
        <family val="1"/>
      </rPr>
      <t>×</t>
    </r>
    <r>
      <rPr>
        <b/>
        <sz val="8"/>
        <rFont val="Arial"/>
        <family val="2"/>
      </rPr>
      <t>s (20°C)</t>
    </r>
  </si>
  <si>
    <r>
      <t>VISC. η: Pa</t>
    </r>
    <r>
      <rPr>
        <b/>
        <sz val="8"/>
        <rFont val="Symbol"/>
        <family val="1"/>
      </rPr>
      <t>×</t>
    </r>
    <r>
      <rPr>
        <b/>
        <sz val="8"/>
        <rFont val="Arial"/>
        <family val="2"/>
      </rPr>
      <t>s (20°C)</t>
    </r>
  </si>
  <si>
    <t>Etano</t>
  </si>
  <si>
    <t>Etilene</t>
  </si>
  <si>
    <t>Butano</t>
  </si>
  <si>
    <t>Ossido di azoto</t>
  </si>
  <si>
    <t>NO</t>
  </si>
  <si>
    <t>Argon</t>
  </si>
  <si>
    <t>Idrog. solfuro</t>
  </si>
  <si>
    <r>
      <t>H</t>
    </r>
    <r>
      <rPr>
        <vertAlign val="subscript"/>
        <sz val="8"/>
        <rFont val="Arial"/>
        <family val="2"/>
      </rPr>
      <t xml:space="preserve">2 </t>
    </r>
    <r>
      <rPr>
        <sz val="8"/>
        <rFont val="Arial"/>
        <family val="2"/>
      </rPr>
      <t>S</t>
    </r>
  </si>
  <si>
    <t xml:space="preserve">-122      4,86   </t>
  </si>
  <si>
    <t>100      9,01</t>
  </si>
  <si>
    <t>-93     6,54</t>
  </si>
  <si>
    <r>
      <t xml:space="preserve">     18,8·10</t>
    </r>
    <r>
      <rPr>
        <vertAlign val="superscript"/>
        <sz val="8"/>
        <rFont val="Arial"/>
        <family val="2"/>
      </rPr>
      <t xml:space="preserve">-6 </t>
    </r>
  </si>
  <si>
    <r>
      <t xml:space="preserve">     12,4·10</t>
    </r>
    <r>
      <rPr>
        <vertAlign val="superscript"/>
        <sz val="8"/>
        <rFont val="Arial"/>
        <family val="2"/>
      </rPr>
      <t xml:space="preserve">-6   </t>
    </r>
    <r>
      <rPr>
        <sz val="8"/>
        <rFont val="Arial"/>
        <family val="2"/>
      </rPr>
      <t>(17° C)</t>
    </r>
  </si>
  <si>
    <t>*(a cond. normali)</t>
  </si>
  <si>
    <r>
      <t>192;                22,3·10</t>
    </r>
    <r>
      <rPr>
        <vertAlign val="superscript"/>
        <sz val="8"/>
        <rFont val="Arial"/>
        <family val="2"/>
      </rPr>
      <t>-6</t>
    </r>
    <r>
      <rPr>
        <sz val="8"/>
        <rFont val="Arial"/>
        <family val="2"/>
      </rPr>
      <t xml:space="preserve"> </t>
    </r>
  </si>
  <si>
    <t xml:space="preserve">… </t>
  </si>
  <si>
    <t>COND.  TERM.</t>
  </si>
  <si>
    <r>
      <t xml:space="preserve">RAPP. </t>
    </r>
    <r>
      <rPr>
        <b/>
        <sz val="8"/>
        <rFont val="Symbol"/>
        <family val="1"/>
      </rPr>
      <t>g</t>
    </r>
    <r>
      <rPr>
        <b/>
        <sz val="8"/>
        <rFont val="Arial"/>
        <family val="2"/>
      </rPr>
      <t xml:space="preserve">  =C</t>
    </r>
    <r>
      <rPr>
        <b/>
        <vertAlign val="subscript"/>
        <sz val="8"/>
        <rFont val="Arial"/>
        <family val="2"/>
      </rPr>
      <t>p</t>
    </r>
    <r>
      <rPr>
        <b/>
        <sz val="8"/>
        <rFont val="Arial"/>
        <family val="2"/>
      </rPr>
      <t>/C</t>
    </r>
    <r>
      <rPr>
        <b/>
        <vertAlign val="subscript"/>
        <sz val="8"/>
        <rFont val="Arial"/>
        <family val="2"/>
      </rPr>
      <t>v</t>
    </r>
  </si>
  <si>
    <t>TRA CAL. SPEC.</t>
  </si>
  <si>
    <t>Cal. spec. Cp</t>
  </si>
  <si>
    <t>Neon</t>
  </si>
  <si>
    <t>Metano</t>
  </si>
  <si>
    <t>Propano</t>
  </si>
  <si>
    <t xml:space="preserve">COMPOSIZIONE PERCENTUALE DELL'ARIA SECCA:  </t>
  </si>
  <si>
    <t>0,93% Ar</t>
  </si>
  <si>
    <t xml:space="preserve"> 0,0018% Ne</t>
  </si>
  <si>
    <r>
      <t>20,95 % O</t>
    </r>
    <r>
      <rPr>
        <vertAlign val="subscript"/>
        <sz val="9"/>
        <rFont val="Arial"/>
        <family val="2"/>
      </rPr>
      <t>2</t>
    </r>
  </si>
  <si>
    <r>
      <t xml:space="preserve">  78,09 % N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; </t>
    </r>
  </si>
  <si>
    <r>
      <t>0,03% CO</t>
    </r>
    <r>
      <rPr>
        <vertAlign val="subscript"/>
        <sz val="9"/>
        <rFont val="Arial"/>
        <family val="2"/>
      </rPr>
      <t>2</t>
    </r>
  </si>
  <si>
    <t>0,000052 He</t>
  </si>
  <si>
    <t>e inoltre: 1</t>
  </si>
  <si>
    <t>,14Kr; 0,5H</t>
  </si>
  <si>
    <r>
      <t>2</t>
    </r>
    <r>
      <rPr>
        <sz val="9"/>
        <rFont val="Arial"/>
        <family val="2"/>
      </rPr>
      <t>; 0,086 Xe parti per milione</t>
    </r>
  </si>
  <si>
    <t>ossidi di</t>
  </si>
  <si>
    <t>azoto, zolfo</t>
  </si>
  <si>
    <t>oltre a tracce di altri gas (metano, ossidi di azoto e zolfo, ozono ecc).</t>
  </si>
  <si>
    <t>ecc.)</t>
  </si>
  <si>
    <t xml:space="preserve">,ozono, </t>
  </si>
  <si>
    <t>(La % di vapor</t>
  </si>
  <si>
    <t>d'acqua</t>
  </si>
  <si>
    <t>dipende</t>
  </si>
  <si>
    <t>dal tasso</t>
  </si>
  <si>
    <t>di umidità</t>
  </si>
  <si>
    <t xml:space="preserve"> relativa. Esso</t>
  </si>
  <si>
    <t>è 100%</t>
  </si>
  <si>
    <t>con 4,85g</t>
  </si>
  <si>
    <r>
      <t>/m</t>
    </r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>a 0°C</t>
    </r>
  </si>
  <si>
    <t xml:space="preserve"> che diventano</t>
  </si>
  <si>
    <t>17,3g a</t>
  </si>
  <si>
    <t>30,35g</t>
  </si>
  <si>
    <t>, 9,4g a 10°</t>
  </si>
  <si>
    <t>20° e poi</t>
  </si>
  <si>
    <t>a 30 °)</t>
  </si>
  <si>
    <t>Ai gas si aggiunge</t>
  </si>
  <si>
    <t>eventuali</t>
  </si>
  <si>
    <t>fumi ecc.)</t>
  </si>
  <si>
    <t>il pulviscolo  (</t>
  </si>
  <si>
    <t>o eventuali</t>
  </si>
  <si>
    <t>gocce di</t>
  </si>
  <si>
    <t>nebbia.</t>
  </si>
  <si>
    <t>(kcal/kg K)</t>
  </si>
  <si>
    <t>20,78  J / M</t>
  </si>
  <si>
    <t>INDIC RIFRAZ.</t>
  </si>
  <si>
    <t>(1atm, 20°C)</t>
  </si>
  <si>
    <t xml:space="preserve">(GIALLO Na) </t>
  </si>
  <si>
    <t>Ghiaccio/ghiaccio (0°C)</t>
  </si>
  <si>
    <t>Ottone / acciaio</t>
  </si>
  <si>
    <t>Zinco/ ghisa</t>
  </si>
  <si>
    <t>Vetro / vetro</t>
  </si>
  <si>
    <t>Vetro /metallo</t>
  </si>
  <si>
    <t>Teflon / teflon</t>
  </si>
  <si>
    <t>Teflon / acciaio</t>
  </si>
  <si>
    <t>Acciaio / acciaio</t>
  </si>
  <si>
    <t>Rame / acciaio</t>
  </si>
  <si>
    <t>Alluminio / acciaio</t>
  </si>
  <si>
    <t>Grafite / grafite</t>
  </si>
  <si>
    <t>Legno / legno (asciutto)</t>
  </si>
  <si>
    <t>STATICO</t>
  </si>
  <si>
    <t>DINAMICO</t>
  </si>
  <si>
    <t>0,9 -1</t>
  </si>
  <si>
    <t>0,5 -0,7</t>
  </si>
  <si>
    <t>0,05 -0,15</t>
  </si>
  <si>
    <t>0,I</t>
  </si>
  <si>
    <t>0,25 -0,5</t>
  </si>
  <si>
    <t>Legno / legno (bagnato)</t>
  </si>
  <si>
    <t>0,02 (4m/s)</t>
  </si>
  <si>
    <t>1,02 (4m/s)</t>
  </si>
  <si>
    <t>0,97 (4m/s)</t>
  </si>
  <si>
    <r>
      <t xml:space="preserve">m </t>
    </r>
    <r>
      <rPr>
        <vertAlign val="subscript"/>
        <sz val="10"/>
        <rFont val="Arial"/>
        <family val="2"/>
      </rPr>
      <t>D</t>
    </r>
  </si>
  <si>
    <r>
      <t xml:space="preserve">m </t>
    </r>
    <r>
      <rPr>
        <vertAlign val="subscript"/>
        <sz val="10"/>
        <rFont val="Arial"/>
        <family val="2"/>
      </rPr>
      <t>S</t>
    </r>
  </si>
  <si>
    <t>VOLVENTE</t>
  </si>
  <si>
    <r>
      <t>F</t>
    </r>
    <r>
      <rPr>
        <b/>
        <vertAlign val="subscript"/>
        <sz val="9"/>
        <rFont val="Arial"/>
        <family val="2"/>
      </rPr>
      <t xml:space="preserve">ATTR. </t>
    </r>
    <r>
      <rPr>
        <b/>
        <sz val="9"/>
        <rFont val="Arial"/>
        <family val="2"/>
      </rPr>
      <t xml:space="preserve">= </t>
    </r>
    <r>
      <rPr>
        <b/>
        <sz val="9"/>
        <rFont val="Symbol"/>
        <family val="1"/>
      </rPr>
      <t xml:space="preserve">m </t>
    </r>
    <r>
      <rPr>
        <b/>
        <vertAlign val="subscript"/>
        <sz val="9"/>
        <rFont val="Arial"/>
        <family val="2"/>
      </rPr>
      <t>S / D</t>
    </r>
  </si>
  <si>
    <r>
      <t xml:space="preserve">× </t>
    </r>
    <r>
      <rPr>
        <b/>
        <sz val="10"/>
        <rFont val="Arial"/>
        <family val="0"/>
      </rPr>
      <t>F</t>
    </r>
    <r>
      <rPr>
        <b/>
        <vertAlign val="subscript"/>
        <sz val="10"/>
        <rFont val="Symbol"/>
        <family val="1"/>
      </rPr>
      <t xml:space="preserve">^ </t>
    </r>
    <r>
      <rPr>
        <b/>
        <vertAlign val="subscript"/>
        <sz val="10"/>
        <rFont val="Arial"/>
        <family val="2"/>
      </rPr>
      <t>PREMENTE</t>
    </r>
  </si>
  <si>
    <r>
      <t xml:space="preserve">× </t>
    </r>
    <r>
      <rPr>
        <b/>
        <sz val="10"/>
        <rFont val="Arial"/>
        <family val="0"/>
      </rPr>
      <t>F</t>
    </r>
    <r>
      <rPr>
        <b/>
        <vertAlign val="subscript"/>
        <sz val="10"/>
        <rFont val="Symbol"/>
        <family val="1"/>
      </rPr>
      <t xml:space="preserve">^ </t>
    </r>
    <r>
      <rPr>
        <b/>
        <vertAlign val="subscript"/>
        <sz val="10"/>
        <rFont val="Arial"/>
        <family val="2"/>
      </rPr>
      <t>PREM.</t>
    </r>
  </si>
  <si>
    <r>
      <t>F</t>
    </r>
    <r>
      <rPr>
        <b/>
        <vertAlign val="subscript"/>
        <sz val="9"/>
        <rFont val="Arial"/>
        <family val="2"/>
      </rPr>
      <t xml:space="preserve">ATTR. </t>
    </r>
    <r>
      <rPr>
        <b/>
        <sz val="9"/>
        <rFont val="Arial"/>
        <family val="2"/>
      </rPr>
      <t xml:space="preserve">= </t>
    </r>
    <r>
      <rPr>
        <b/>
        <sz val="9"/>
        <rFont val="Symbol"/>
        <family val="1"/>
      </rPr>
      <t xml:space="preserve">m </t>
    </r>
    <r>
      <rPr>
        <b/>
        <vertAlign val="subscript"/>
        <sz val="9"/>
        <rFont val="Arial"/>
        <family val="2"/>
      </rPr>
      <t xml:space="preserve">v </t>
    </r>
    <r>
      <rPr>
        <b/>
        <sz val="9"/>
        <rFont val="Arial"/>
        <family val="2"/>
      </rPr>
      <t>/ raggio</t>
    </r>
  </si>
  <si>
    <t>(num. puro)</t>
  </si>
  <si>
    <r>
      <t xml:space="preserve"> </t>
    </r>
    <r>
      <rPr>
        <sz val="8"/>
        <rFont val="Symbol"/>
        <family val="1"/>
      </rPr>
      <t>m</t>
    </r>
    <r>
      <rPr>
        <vertAlign val="subscript"/>
        <sz val="8"/>
        <rFont val="Arial"/>
        <family val="2"/>
      </rPr>
      <t xml:space="preserve">V </t>
    </r>
    <r>
      <rPr>
        <sz val="8"/>
        <rFont val="Symbol"/>
        <family val="1"/>
      </rPr>
      <t xml:space="preserve">: </t>
    </r>
    <r>
      <rPr>
        <sz val="8"/>
        <rFont val="Arial"/>
        <family val="2"/>
      </rPr>
      <t>m  (val. dimens.)</t>
    </r>
  </si>
  <si>
    <t xml:space="preserve">     COEFFICIENTI  DI  ATTRITO  RADENTE  E  VOLVENTE</t>
  </si>
  <si>
    <r>
      <t xml:space="preserve">5 </t>
    </r>
    <r>
      <rPr>
        <sz val="8"/>
        <rFont val="Symbol"/>
        <family val="1"/>
      </rPr>
      <t>×</t>
    </r>
    <r>
      <rPr>
        <sz val="8"/>
        <rFont val="Arial"/>
        <family val="0"/>
      </rPr>
      <t xml:space="preserve"> 10 </t>
    </r>
    <r>
      <rPr>
        <vertAlign val="superscript"/>
        <sz val="8"/>
        <rFont val="Arial"/>
        <family val="2"/>
      </rPr>
      <t xml:space="preserve">- 5 </t>
    </r>
    <r>
      <rPr>
        <sz val="8"/>
        <rFont val="Arial"/>
        <family val="2"/>
      </rPr>
      <t>m</t>
    </r>
  </si>
  <si>
    <r>
      <t xml:space="preserve">5 </t>
    </r>
    <r>
      <rPr>
        <sz val="8"/>
        <rFont val="Symbol"/>
        <family val="1"/>
      </rPr>
      <t>×</t>
    </r>
    <r>
      <rPr>
        <sz val="8"/>
        <rFont val="Arial"/>
        <family val="0"/>
      </rPr>
      <t xml:space="preserve"> 10 </t>
    </r>
    <r>
      <rPr>
        <vertAlign val="superscript"/>
        <sz val="8"/>
        <rFont val="Arial"/>
        <family val="2"/>
      </rPr>
      <t xml:space="preserve">- 3 </t>
    </r>
    <r>
      <rPr>
        <sz val="8"/>
        <rFont val="Arial"/>
        <family val="2"/>
      </rPr>
      <t>m</t>
    </r>
  </si>
  <si>
    <r>
      <t xml:space="preserve">3 </t>
    </r>
    <r>
      <rPr>
        <sz val="8"/>
        <rFont val="Symbol"/>
        <family val="1"/>
      </rPr>
      <t>×</t>
    </r>
    <r>
      <rPr>
        <sz val="8"/>
        <rFont val="Arial"/>
        <family val="0"/>
      </rPr>
      <t xml:space="preserve"> 10 </t>
    </r>
    <r>
      <rPr>
        <vertAlign val="superscript"/>
        <sz val="8"/>
        <rFont val="Arial"/>
        <family val="2"/>
      </rPr>
      <t xml:space="preserve">- 2 </t>
    </r>
    <r>
      <rPr>
        <sz val="8"/>
        <rFont val="Arial"/>
        <family val="2"/>
      </rPr>
      <t>m</t>
    </r>
  </si>
  <si>
    <r>
      <t xml:space="preserve">3 </t>
    </r>
    <r>
      <rPr>
        <sz val="8"/>
        <rFont val="Symbol"/>
        <family val="1"/>
      </rPr>
      <t>×</t>
    </r>
    <r>
      <rPr>
        <sz val="8"/>
        <rFont val="Arial"/>
        <family val="0"/>
      </rPr>
      <t xml:space="preserve"> 10 </t>
    </r>
    <r>
      <rPr>
        <vertAlign val="superscript"/>
        <sz val="8"/>
        <rFont val="Arial"/>
        <family val="2"/>
      </rPr>
      <t xml:space="preserve">- 3 </t>
    </r>
    <r>
      <rPr>
        <sz val="8"/>
        <rFont val="Arial"/>
        <family val="2"/>
      </rPr>
      <t>m</t>
    </r>
  </si>
  <si>
    <t>Ruota ferrov. / binario</t>
  </si>
  <si>
    <t>Gomma / calcestr.(bagn.)</t>
  </si>
  <si>
    <t>Pneumatico / asfalto</t>
  </si>
  <si>
    <t>Legno / metallo (asciutto)</t>
  </si>
  <si>
    <t>Legno / metallo (bagnato)</t>
  </si>
  <si>
    <t>Ottone / ghiaccio (0°C)</t>
  </si>
  <si>
    <t>Gomma / calcestr.(asc.)</t>
  </si>
  <si>
    <t>Pneumatico / massicciata</t>
  </si>
  <si>
    <r>
      <t>Coeff.</t>
    </r>
    <r>
      <rPr>
        <sz val="8"/>
        <rFont val="Symbol"/>
        <family val="1"/>
      </rPr>
      <t xml:space="preserve"> b = 3 l</t>
    </r>
  </si>
  <si>
    <t>atomici - coeff. di attrito, Young, dilat., conduz.</t>
  </si>
  <si>
    <t>temp. e press.</t>
  </si>
  <si>
    <t>critiche- cal. spec. e lat.</t>
  </si>
  <si>
    <t>poteri calor. - Condutt. termiche, elettr. -</t>
  </si>
  <si>
    <t>masse volumiche, molecolari, dati</t>
  </si>
  <si>
    <t>permitt., permeab. - ind. rifraz.)</t>
  </si>
  <si>
    <t>(Costanti. fond. -</t>
  </si>
  <si>
    <r>
      <t xml:space="preserve">10 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 xml:space="preserve"> - 10</t>
    </r>
    <r>
      <rPr>
        <b/>
        <vertAlign val="superscript"/>
        <sz val="8"/>
        <rFont val="Arial"/>
        <family val="2"/>
      </rPr>
      <t xml:space="preserve"> 5  </t>
    </r>
    <r>
      <rPr>
        <b/>
        <sz val="8"/>
        <rFont val="Symbol"/>
        <family val="1"/>
      </rPr>
      <t xml:space="preserve">W </t>
    </r>
    <r>
      <rPr>
        <b/>
        <sz val="8"/>
        <rFont val="Arial"/>
        <family val="2"/>
      </rPr>
      <t>m</t>
    </r>
  </si>
  <si>
    <t xml:space="preserve">Carbone </t>
  </si>
  <si>
    <t xml:space="preserve">Carbone (coke) </t>
  </si>
  <si>
    <t>3600         -0,5</t>
  </si>
  <si>
    <r>
      <t xml:space="preserve"> 10</t>
    </r>
    <r>
      <rPr>
        <vertAlign val="superscript"/>
        <sz val="8"/>
        <rFont val="Symbol"/>
        <family val="1"/>
      </rPr>
      <t xml:space="preserve"> 11</t>
    </r>
    <r>
      <rPr>
        <sz val="8"/>
        <rFont val="Symbol"/>
        <family val="1"/>
      </rPr>
      <t>W</t>
    </r>
    <r>
      <rPr>
        <sz val="8"/>
        <rFont val="Arial"/>
        <family val="2"/>
      </rPr>
      <t xml:space="preserve"> m</t>
    </r>
  </si>
  <si>
    <r>
      <t>&gt; 10</t>
    </r>
    <r>
      <rPr>
        <vertAlign val="superscript"/>
        <sz val="8"/>
        <rFont val="Symbol"/>
        <family val="1"/>
      </rPr>
      <t xml:space="preserve"> 14 </t>
    </r>
    <r>
      <rPr>
        <sz val="8"/>
        <rFont val="Symbol"/>
        <family val="1"/>
      </rPr>
      <t>W</t>
    </r>
    <r>
      <rPr>
        <sz val="8"/>
        <rFont val="Arial"/>
        <family val="2"/>
      </rPr>
      <t xml:space="preserve"> m</t>
    </r>
  </si>
  <si>
    <r>
      <t xml:space="preserve"> 10</t>
    </r>
    <r>
      <rPr>
        <vertAlign val="superscript"/>
        <sz val="8"/>
        <rFont val="Symbol"/>
        <family val="1"/>
      </rPr>
      <t xml:space="preserve"> 16 </t>
    </r>
    <r>
      <rPr>
        <sz val="8"/>
        <rFont val="Symbol"/>
        <family val="1"/>
      </rPr>
      <t>W</t>
    </r>
    <r>
      <rPr>
        <sz val="8"/>
        <rFont val="Arial"/>
        <family val="2"/>
      </rPr>
      <t xml:space="preserve"> m</t>
    </r>
  </si>
  <si>
    <r>
      <t xml:space="preserve"> 10</t>
    </r>
    <r>
      <rPr>
        <vertAlign val="superscript"/>
        <sz val="8"/>
        <rFont val="Symbol"/>
        <family val="1"/>
      </rPr>
      <t xml:space="preserve"> 13 </t>
    </r>
    <r>
      <rPr>
        <sz val="8"/>
        <rFont val="Symbol"/>
        <family val="1"/>
      </rPr>
      <t>W</t>
    </r>
    <r>
      <rPr>
        <sz val="8"/>
        <rFont val="Arial"/>
        <family val="2"/>
      </rPr>
      <t xml:space="preserve"> m</t>
    </r>
  </si>
  <si>
    <r>
      <t xml:space="preserve">10 </t>
    </r>
    <r>
      <rPr>
        <vertAlign val="superscript"/>
        <sz val="8"/>
        <rFont val="Arial"/>
        <family val="2"/>
      </rPr>
      <t>10</t>
    </r>
    <r>
      <rPr>
        <sz val="8"/>
        <rFont val="Arial"/>
        <family val="2"/>
      </rPr>
      <t xml:space="preserve"> - 10 </t>
    </r>
    <r>
      <rPr>
        <vertAlign val="superscript"/>
        <sz val="8"/>
        <rFont val="Arial"/>
        <family val="2"/>
      </rPr>
      <t xml:space="preserve">14 </t>
    </r>
    <r>
      <rPr>
        <sz val="8"/>
        <rFont val="Arial"/>
        <family val="2"/>
      </rPr>
      <t xml:space="preserve"> </t>
    </r>
    <r>
      <rPr>
        <sz val="8"/>
        <rFont val="Symbol"/>
        <family val="1"/>
      </rPr>
      <t xml:space="preserve">W </t>
    </r>
    <r>
      <rPr>
        <sz val="8"/>
        <rFont val="Arial"/>
        <family val="2"/>
      </rPr>
      <t>m</t>
    </r>
  </si>
  <si>
    <r>
      <t xml:space="preserve">- 10 </t>
    </r>
    <r>
      <rPr>
        <vertAlign val="superscript"/>
        <sz val="8"/>
        <rFont val="Arial"/>
        <family val="2"/>
      </rPr>
      <t xml:space="preserve">12 </t>
    </r>
    <r>
      <rPr>
        <sz val="8"/>
        <rFont val="Arial"/>
        <family val="2"/>
      </rPr>
      <t xml:space="preserve"> </t>
    </r>
    <r>
      <rPr>
        <sz val="8"/>
        <rFont val="Symbol"/>
        <family val="1"/>
      </rPr>
      <t xml:space="preserve">W </t>
    </r>
    <r>
      <rPr>
        <sz val="8"/>
        <rFont val="Arial"/>
        <family val="2"/>
      </rPr>
      <t>m</t>
    </r>
  </si>
  <si>
    <t>0,99999 (d)</t>
  </si>
  <si>
    <t>diamagn.(d)</t>
  </si>
  <si>
    <t>param. (p)</t>
  </si>
  <si>
    <t>(d)</t>
  </si>
  <si>
    <t>ferrom. (f)</t>
  </si>
  <si>
    <t xml:space="preserve"> (f)</t>
  </si>
  <si>
    <t>(p)</t>
  </si>
  <si>
    <t>0,000087 (d)</t>
  </si>
  <si>
    <t>1540   #</t>
  </si>
  <si>
    <t xml:space="preserve">Nota #: A 1625° C la tens. di vapore del </t>
  </si>
  <si>
    <r>
      <t>ferro fuso vale: p</t>
    </r>
    <r>
      <rPr>
        <vertAlign val="subscript"/>
        <sz val="8"/>
        <rFont val="Arial"/>
        <family val="0"/>
      </rPr>
      <t xml:space="preserve">Fe </t>
    </r>
    <r>
      <rPr>
        <sz val="8"/>
        <rFont val="Arial"/>
        <family val="0"/>
      </rPr>
      <t>= 7,02 Pa</t>
    </r>
  </si>
  <si>
    <r>
      <t xml:space="preserve"> 28978 </t>
    </r>
    <r>
      <rPr>
        <b/>
        <sz val="10"/>
        <rFont val="Symbol"/>
        <family val="1"/>
      </rPr>
      <t>×</t>
    </r>
    <r>
      <rPr>
        <b/>
        <sz val="10"/>
        <rFont val="Arial"/>
        <family val="0"/>
      </rPr>
      <t xml:space="preserve"> 10 </t>
    </r>
    <r>
      <rPr>
        <b/>
        <vertAlign val="superscript"/>
        <sz val="10"/>
        <rFont val="Arial"/>
        <family val="2"/>
      </rPr>
      <t>-3</t>
    </r>
    <r>
      <rPr>
        <b/>
        <sz val="10"/>
        <rFont val="Arial"/>
        <family val="0"/>
      </rPr>
      <t xml:space="preserve"> m </t>
    </r>
    <r>
      <rPr>
        <b/>
        <sz val="10"/>
        <rFont val="Symbol"/>
        <family val="1"/>
      </rPr>
      <t>×</t>
    </r>
    <r>
      <rPr>
        <b/>
        <sz val="10"/>
        <rFont val="Arial"/>
        <family val="0"/>
      </rPr>
      <t xml:space="preserve"> K</t>
    </r>
  </si>
  <si>
    <r>
      <t xml:space="preserve">costante di Stefan :   </t>
    </r>
    <r>
      <rPr>
        <b/>
        <sz val="10"/>
        <rFont val="Arial"/>
        <family val="2"/>
      </rPr>
      <t xml:space="preserve">σ </t>
    </r>
    <r>
      <rPr>
        <b/>
        <sz val="10"/>
        <rFont val="Arial"/>
        <family val="0"/>
      </rPr>
      <t xml:space="preserve">  =                5,67032  </t>
    </r>
    <r>
      <rPr>
        <b/>
        <sz val="10"/>
        <rFont val="Symbol"/>
        <family val="1"/>
      </rPr>
      <t>×  10</t>
    </r>
    <r>
      <rPr>
        <b/>
        <vertAlign val="superscript"/>
        <sz val="10"/>
        <rFont val="Symbol"/>
        <family val="1"/>
      </rPr>
      <t xml:space="preserve"> - 8</t>
    </r>
    <r>
      <rPr>
        <b/>
        <sz val="10"/>
        <rFont val="Symbol"/>
        <family val="1"/>
      </rPr>
      <t xml:space="preserve">   </t>
    </r>
  </si>
  <si>
    <t xml:space="preserve"> c =</t>
  </si>
  <si>
    <r>
      <t xml:space="preserve">N </t>
    </r>
    <r>
      <rPr>
        <b/>
        <vertAlign val="subscript"/>
        <sz val="10"/>
        <rFont val="Arial"/>
        <family val="2"/>
      </rPr>
      <t xml:space="preserve">A  </t>
    </r>
    <r>
      <rPr>
        <b/>
        <sz val="10"/>
        <rFont val="Arial"/>
        <family val="0"/>
      </rPr>
      <t>=</t>
    </r>
  </si>
  <si>
    <r>
      <t xml:space="preserve"> 1,380662 </t>
    </r>
    <r>
      <rPr>
        <b/>
        <sz val="10"/>
        <rFont val="Symbol"/>
        <family val="1"/>
      </rPr>
      <t>×</t>
    </r>
    <r>
      <rPr>
        <b/>
        <sz val="10"/>
        <rFont val="Arial"/>
        <family val="0"/>
      </rPr>
      <t xml:space="preserve"> 10 </t>
    </r>
    <r>
      <rPr>
        <b/>
        <vertAlign val="superscript"/>
        <sz val="10"/>
        <rFont val="Arial"/>
        <family val="2"/>
      </rPr>
      <t xml:space="preserve">-23  </t>
    </r>
    <r>
      <rPr>
        <b/>
        <sz val="10"/>
        <rFont val="Arial"/>
        <family val="2"/>
      </rPr>
      <t>J / K</t>
    </r>
  </si>
  <si>
    <r>
      <t>costante di Boltzmann  :     k   =   R / N</t>
    </r>
    <r>
      <rPr>
        <b/>
        <vertAlign val="subscript"/>
        <sz val="10"/>
        <rFont val="Arial"/>
        <family val="2"/>
      </rPr>
      <t>A</t>
    </r>
    <r>
      <rPr>
        <b/>
        <sz val="10"/>
        <rFont val="Arial"/>
        <family val="0"/>
      </rPr>
      <t xml:space="preserve">  =</t>
    </r>
  </si>
  <si>
    <t>Fusione °C</t>
  </si>
  <si>
    <t>18 - 21</t>
  </si>
  <si>
    <t>90 - 110</t>
  </si>
  <si>
    <t>95 - 105</t>
  </si>
  <si>
    <t>Zolfo mon- rom</t>
  </si>
  <si>
    <t>1.96     2,09</t>
  </si>
  <si>
    <t>80                61</t>
  </si>
  <si>
    <t>256,48</t>
  </si>
  <si>
    <t>0,18       0,17</t>
  </si>
  <si>
    <t>2,25    3,52</t>
  </si>
  <si>
    <t>3 - 6           3,9</t>
  </si>
  <si>
    <t>1,0</t>
  </si>
  <si>
    <t>1,2 - 2</t>
  </si>
  <si>
    <r>
      <t>10</t>
    </r>
    <r>
      <rPr>
        <vertAlign val="superscript"/>
        <sz val="8"/>
        <rFont val="Arial"/>
        <family val="2"/>
      </rPr>
      <t>-5</t>
    </r>
    <r>
      <rPr>
        <sz val="8"/>
        <rFont val="Arial"/>
        <family val="2"/>
      </rPr>
      <t xml:space="preserve">     10</t>
    </r>
    <r>
      <rPr>
        <vertAlign val="superscript"/>
        <sz val="8"/>
        <rFont val="Arial"/>
        <family val="2"/>
      </rPr>
      <t>13</t>
    </r>
    <r>
      <rPr>
        <sz val="8"/>
        <rFont val="Arial"/>
        <family val="2"/>
      </rPr>
      <t xml:space="preserve">  </t>
    </r>
    <r>
      <rPr>
        <sz val="8"/>
        <rFont val="Symbol"/>
        <family val="1"/>
      </rPr>
      <t xml:space="preserve">W </t>
    </r>
    <r>
      <rPr>
        <sz val="8"/>
        <rFont val="Arial"/>
        <family val="2"/>
      </rPr>
      <t xml:space="preserve">m    </t>
    </r>
  </si>
  <si>
    <r>
      <t xml:space="preserve">   3000</t>
    </r>
    <r>
      <rPr>
        <vertAlign val="superscript"/>
        <sz val="8"/>
        <rFont val="Arial"/>
        <family val="2"/>
      </rPr>
      <t xml:space="preserve">  </t>
    </r>
    <r>
      <rPr>
        <sz val="8"/>
        <rFont val="Symbol"/>
        <family val="1"/>
      </rPr>
      <t xml:space="preserve">W </t>
    </r>
    <r>
      <rPr>
        <sz val="8"/>
        <rFont val="Arial"/>
        <family val="2"/>
      </rPr>
      <t>m</t>
    </r>
  </si>
  <si>
    <r>
      <t xml:space="preserve"> 10</t>
    </r>
    <r>
      <rPr>
        <vertAlign val="superscript"/>
        <sz val="8"/>
        <color indexed="10"/>
        <rFont val="Symbol"/>
        <family val="1"/>
      </rPr>
      <t xml:space="preserve"> 16 </t>
    </r>
    <r>
      <rPr>
        <sz val="8"/>
        <color indexed="10"/>
        <rFont val="Symbol"/>
        <family val="1"/>
      </rPr>
      <t>W</t>
    </r>
    <r>
      <rPr>
        <sz val="8"/>
        <color indexed="10"/>
        <rFont val="Arial"/>
        <family val="2"/>
      </rPr>
      <t xml:space="preserve"> m</t>
    </r>
  </si>
  <si>
    <t>(fuso)      1,541</t>
  </si>
  <si>
    <t>NaCl</t>
  </si>
  <si>
    <t>NaCl salgemma</t>
  </si>
  <si>
    <t>0,18 - 0,24</t>
  </si>
  <si>
    <r>
      <t>MOD. YOUNG: 10</t>
    </r>
    <r>
      <rPr>
        <vertAlign val="superscript"/>
        <sz val="8"/>
        <rFont val="Arial"/>
        <family val="2"/>
      </rPr>
      <t>9</t>
    </r>
    <r>
      <rPr>
        <sz val="8"/>
        <rFont val="Arial"/>
        <family val="0"/>
      </rPr>
      <t xml:space="preserve">Pa </t>
    </r>
  </si>
  <si>
    <t>100 - 200</t>
  </si>
  <si>
    <t>100 -140</t>
  </si>
  <si>
    <t>150 -250</t>
  </si>
  <si>
    <r>
      <t xml:space="preserve"> 10</t>
    </r>
    <r>
      <rPr>
        <vertAlign val="superscript"/>
        <sz val="8"/>
        <rFont val="Symbol"/>
        <family val="1"/>
      </rPr>
      <t xml:space="preserve"> 19 </t>
    </r>
    <r>
      <rPr>
        <sz val="8"/>
        <rFont val="Symbol"/>
        <family val="1"/>
      </rPr>
      <t>W</t>
    </r>
    <r>
      <rPr>
        <sz val="8"/>
        <rFont val="Arial"/>
        <family val="2"/>
      </rPr>
      <t xml:space="preserve"> m</t>
    </r>
  </si>
  <si>
    <t>***   539,24</t>
  </si>
  <si>
    <r>
      <t xml:space="preserve">r </t>
    </r>
    <r>
      <rPr>
        <vertAlign val="subscript"/>
        <sz val="10"/>
        <rFont val="Arial"/>
        <family val="2"/>
      </rPr>
      <t>kcal/kg</t>
    </r>
    <r>
      <rPr>
        <sz val="10"/>
        <rFont val="Arial"/>
        <family val="0"/>
      </rPr>
      <t xml:space="preserve"> = 606,5 - 0,695 t</t>
    </r>
  </si>
  <si>
    <r>
      <t xml:space="preserve">°C </t>
    </r>
    <r>
      <rPr>
        <sz val="10"/>
        <rFont val="Arial"/>
        <family val="2"/>
      </rPr>
      <t>: Form. di Regnault per il cal. di vap.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 a diverse t°C</t>
    </r>
  </si>
  <si>
    <t>Foglio 2: Sistema periodico di Mendelejev;</t>
  </si>
  <si>
    <t>Foglio 3: principali costanti della fisica</t>
  </si>
  <si>
    <r>
      <t>punto triplo dell'acqua: T</t>
    </r>
    <r>
      <rPr>
        <vertAlign val="subscript"/>
        <sz val="10"/>
        <rFont val="Arial"/>
        <family val="2"/>
      </rPr>
      <t>H20</t>
    </r>
    <r>
      <rPr>
        <sz val="10"/>
        <rFont val="Arial"/>
        <family val="2"/>
      </rPr>
      <t xml:space="preserve"> = 273,16 K</t>
    </r>
  </si>
  <si>
    <t>1 Kcal = 4185,5 J</t>
  </si>
  <si>
    <t>Cost. a,b</t>
  </si>
  <si>
    <r>
      <t>Van der Waals: (p + n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>a/v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>)(V-nb) =nRT</t>
    </r>
  </si>
  <si>
    <t>0,4224  37,1</t>
  </si>
  <si>
    <r>
      <t xml:space="preserve">                a (m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0"/>
      </rPr>
      <t xml:space="preserve">Jmol </t>
    </r>
    <r>
      <rPr>
        <vertAlign val="superscript"/>
        <sz val="8"/>
        <rFont val="Arial"/>
        <family val="2"/>
      </rPr>
      <t>-2</t>
    </r>
    <r>
      <rPr>
        <sz val="8"/>
        <rFont val="Arial"/>
        <family val="0"/>
      </rPr>
      <t>)   b (10</t>
    </r>
    <r>
      <rPr>
        <vertAlign val="superscript"/>
        <sz val="8"/>
        <rFont val="Arial"/>
        <family val="2"/>
      </rPr>
      <t>-6</t>
    </r>
    <r>
      <rPr>
        <sz val="8"/>
        <rFont val="Arial"/>
        <family val="0"/>
      </rPr>
      <t>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0"/>
      </rPr>
      <t>mol</t>
    </r>
    <r>
      <rPr>
        <vertAlign val="superscript"/>
        <sz val="8"/>
        <rFont val="Arial"/>
        <family val="2"/>
      </rPr>
      <t>-1</t>
    </r>
    <r>
      <rPr>
        <sz val="8"/>
        <rFont val="Arial"/>
        <family val="0"/>
      </rPr>
      <t>)</t>
    </r>
  </si>
  <si>
    <t>0,3639  42,7</t>
  </si>
  <si>
    <t>0,1362  32,2</t>
  </si>
  <si>
    <t>0,1408  39,1</t>
  </si>
  <si>
    <t>1,4658  126</t>
  </si>
  <si>
    <t>0,6577  56,2</t>
  </si>
  <si>
    <t>0,0035  23,7</t>
  </si>
  <si>
    <t>0,566   63,8</t>
  </si>
  <si>
    <t>0,0248  26,6</t>
  </si>
  <si>
    <t>0,4489  42,9</t>
  </si>
  <si>
    <t>0,1504  39,9</t>
  </si>
  <si>
    <t>0,1378  31,8</t>
  </si>
  <si>
    <t>0,8777  84,5</t>
  </si>
  <si>
    <t>0,2282  42,8</t>
  </si>
  <si>
    <t>0,0213  17,1</t>
  </si>
  <si>
    <t>0,6801  56,4</t>
  </si>
  <si>
    <t>0,5535  30,5</t>
  </si>
  <si>
    <t xml:space="preserve"> : Acqua</t>
  </si>
  <si>
    <t>42,5</t>
  </si>
  <si>
    <t>PERMITTIVITA' (a 25°)</t>
  </si>
  <si>
    <t>1,0006 (vap. acqueo 120°)</t>
  </si>
  <si>
    <t>0,16 Pa (20°C)</t>
  </si>
  <si>
    <t xml:space="preserve">     148;      110 (++)</t>
  </si>
  <si>
    <t>0,025 Pa (0°C)</t>
  </si>
  <si>
    <r>
      <t xml:space="preserve">   TENS. VAP.   </t>
    </r>
    <r>
      <rPr>
        <b/>
        <sz val="8"/>
        <rFont val="Arial"/>
        <family val="2"/>
      </rPr>
      <t>Hg</t>
    </r>
  </si>
  <si>
    <t xml:space="preserve"> 0,6112 a 0,01 °C (p. triplo); 7,38 a 40°C;19,9 a 60; </t>
  </si>
  <si>
    <t>°C   47,3 a 80°C       ***</t>
  </si>
  <si>
    <r>
      <t>Ten.vap.</t>
    </r>
    <r>
      <rPr>
        <b/>
        <sz val="8"/>
        <rFont val="Arial"/>
        <family val="2"/>
      </rPr>
      <t xml:space="preserve"> H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O</t>
    </r>
    <r>
      <rPr>
        <sz val="8"/>
        <rFont val="Arial"/>
        <family val="0"/>
      </rPr>
      <t xml:space="preserve"> kPa</t>
    </r>
  </si>
  <si>
    <r>
      <t>10</t>
    </r>
    <r>
      <rPr>
        <b/>
        <vertAlign val="superscript"/>
        <sz val="8"/>
        <rFont val="Symbol"/>
        <family val="1"/>
      </rPr>
      <t xml:space="preserve">- 6 </t>
    </r>
    <r>
      <rPr>
        <b/>
        <sz val="8"/>
        <rFont val="Symbol"/>
        <family val="1"/>
      </rPr>
      <t xml:space="preserve">K </t>
    </r>
    <r>
      <rPr>
        <b/>
        <vertAlign val="superscript"/>
        <sz val="8"/>
        <rFont val="Symbol"/>
        <family val="1"/>
      </rPr>
      <t>-1</t>
    </r>
  </si>
  <si>
    <r>
      <t xml:space="preserve">   (</t>
    </r>
    <r>
      <rPr>
        <sz val="8"/>
        <rFont val="Symbol"/>
        <family val="1"/>
      </rPr>
      <t>b</t>
    </r>
    <r>
      <rPr>
        <sz val="8"/>
        <rFont val="Arial"/>
        <family val="0"/>
      </rPr>
      <t>: cubico)</t>
    </r>
  </si>
  <si>
    <r>
      <t xml:space="preserve"> 6,022045 </t>
    </r>
    <r>
      <rPr>
        <b/>
        <sz val="10"/>
        <rFont val="Symbol"/>
        <family val="1"/>
      </rPr>
      <t>×</t>
    </r>
    <r>
      <rPr>
        <b/>
        <sz val="10"/>
        <rFont val="Arial"/>
        <family val="0"/>
      </rPr>
      <t xml:space="preserve"> 10 </t>
    </r>
    <r>
      <rPr>
        <b/>
        <vertAlign val="superscript"/>
        <sz val="10"/>
        <rFont val="Arial"/>
        <family val="2"/>
      </rPr>
      <t xml:space="preserve">23 </t>
    </r>
    <r>
      <rPr>
        <b/>
        <sz val="10"/>
        <rFont val="Arial"/>
        <family val="2"/>
      </rPr>
      <t>/ mol   (num. molecole in una mole)</t>
    </r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</si>
</sst>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0.000"/>
    <numFmt numFmtId="175" formatCode="0.000%"/>
    <numFmt numFmtId="176" formatCode="0.00000"/>
    <numFmt numFmtId="177" formatCode="0.0000"/>
    <numFmt numFmtId="178" formatCode="0.000000"/>
    <numFmt numFmtId="179" formatCode="0.00000000"/>
    <numFmt numFmtId="180" formatCode="0.0000000"/>
    <numFmt numFmtId="181" formatCode="_-&quot;€&quot;\ * #,##0.0_-;\-&quot;€&quot;\ * #,##0.0_-;_-&quot;€&quot;\ * &quot;-&quot;??_-;_-@_-"/>
    <numFmt numFmtId="182" formatCode="_-&quot;€&quot;\ * #,##0_-;\-&quot;€&quot;\ * #,##0_-;_-&quot;€&quot;\ * &quot;-&quot;??_-;_-@_-"/>
    <numFmt numFmtId="183" formatCode="0.0"/>
  </numFmts>
  <fonts count="6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1"/>
      <name val="Arial"/>
      <family val="2"/>
    </font>
    <font>
      <b/>
      <sz val="10"/>
      <color indexed="14"/>
      <name val="Arial"/>
      <family val="2"/>
    </font>
    <font>
      <b/>
      <vertAlign val="subscript"/>
      <sz val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color indexed="14"/>
      <name val="Arial"/>
      <family val="2"/>
    </font>
    <font>
      <b/>
      <sz val="10"/>
      <color indexed="40"/>
      <name val="Arial"/>
      <family val="2"/>
    </font>
    <font>
      <b/>
      <vertAlign val="subscript"/>
      <sz val="10"/>
      <color indexed="40"/>
      <name val="Arial"/>
      <family val="2"/>
    </font>
    <font>
      <sz val="10"/>
      <color indexed="4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color indexed="12"/>
      <name val="Arial"/>
      <family val="2"/>
    </font>
    <font>
      <sz val="10"/>
      <color indexed="13"/>
      <name val="Arial"/>
      <family val="2"/>
    </font>
    <font>
      <b/>
      <u val="single"/>
      <sz val="10"/>
      <color indexed="1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16"/>
      <name val="Arial"/>
      <family val="2"/>
    </font>
    <font>
      <b/>
      <sz val="10"/>
      <color indexed="16"/>
      <name val="Arial"/>
      <family val="2"/>
    </font>
    <font>
      <b/>
      <sz val="10"/>
      <color indexed="12"/>
      <name val="Arial"/>
      <family val="2"/>
    </font>
    <font>
      <b/>
      <sz val="10"/>
      <color indexed="58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8"/>
      <color indexed="14"/>
      <name val="Arial"/>
      <family val="2"/>
    </font>
    <font>
      <b/>
      <u val="single"/>
      <sz val="8"/>
      <color indexed="16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color indexed="60"/>
      <name val="Arial"/>
      <family val="2"/>
    </font>
    <font>
      <b/>
      <sz val="8"/>
      <color indexed="14"/>
      <name val="Arial"/>
      <family val="2"/>
    </font>
    <font>
      <u val="single"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vertAlign val="subscript"/>
      <sz val="10"/>
      <color indexed="10"/>
      <name val="Arial"/>
      <family val="2"/>
    </font>
    <font>
      <b/>
      <vertAlign val="subscript"/>
      <sz val="10"/>
      <color indexed="10"/>
      <name val="Arial"/>
      <family val="2"/>
    </font>
    <font>
      <b/>
      <sz val="8"/>
      <name val="Symbol"/>
      <family val="1"/>
    </font>
    <font>
      <b/>
      <vertAlign val="superscript"/>
      <sz val="8"/>
      <name val="Symbol"/>
      <family val="1"/>
    </font>
    <font>
      <sz val="8"/>
      <color indexed="12"/>
      <name val="Arial"/>
      <family val="2"/>
    </font>
    <font>
      <b/>
      <vertAlign val="superscript"/>
      <sz val="8"/>
      <name val="Arial"/>
      <family val="2"/>
    </font>
    <font>
      <sz val="8"/>
      <name val="Symbol"/>
      <family val="1"/>
    </font>
    <font>
      <vertAlign val="superscript"/>
      <sz val="8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name val="Symbol"/>
      <family val="1"/>
    </font>
    <font>
      <vertAlign val="subscript"/>
      <sz val="8"/>
      <name val="Arial"/>
      <family val="2"/>
    </font>
    <font>
      <sz val="12"/>
      <name val="Symbol"/>
      <family val="1"/>
    </font>
    <font>
      <vertAlign val="subscript"/>
      <sz val="12"/>
      <name val="Arial"/>
      <family val="2"/>
    </font>
    <font>
      <b/>
      <sz val="10"/>
      <name val="Symbol"/>
      <family val="1"/>
    </font>
    <font>
      <b/>
      <vertAlign val="superscript"/>
      <sz val="10"/>
      <name val="Symbol"/>
      <family val="1"/>
    </font>
    <font>
      <b/>
      <vertAlign val="superscript"/>
      <sz val="10"/>
      <name val="Arial"/>
      <family val="2"/>
    </font>
    <font>
      <b/>
      <vertAlign val="subscript"/>
      <sz val="8"/>
      <name val="Arial"/>
      <family val="2"/>
    </font>
    <font>
      <b/>
      <sz val="12"/>
      <name val="Symbol"/>
      <family val="1"/>
    </font>
    <font>
      <vertAlign val="superscript"/>
      <sz val="10"/>
      <name val="Arial"/>
      <family val="2"/>
    </font>
    <font>
      <sz val="10"/>
      <name val="Symbol"/>
      <family val="1"/>
    </font>
    <font>
      <vertAlign val="subscript"/>
      <sz val="9"/>
      <name val="Arial"/>
      <family val="2"/>
    </font>
    <font>
      <b/>
      <vertAlign val="subscript"/>
      <sz val="9"/>
      <name val="Arial"/>
      <family val="2"/>
    </font>
    <font>
      <b/>
      <sz val="9"/>
      <name val="Symbol"/>
      <family val="1"/>
    </font>
    <font>
      <b/>
      <vertAlign val="subscript"/>
      <sz val="10"/>
      <name val="Symbol"/>
      <family val="1"/>
    </font>
    <font>
      <sz val="8"/>
      <color indexed="9"/>
      <name val="Arial"/>
      <family val="0"/>
    </font>
    <font>
      <sz val="8"/>
      <color indexed="10"/>
      <name val="Symbol"/>
      <family val="1"/>
    </font>
    <font>
      <vertAlign val="superscript"/>
      <sz val="8"/>
      <color indexed="10"/>
      <name val="Symbol"/>
      <family val="1"/>
    </font>
    <font>
      <sz val="10"/>
      <color indexed="9"/>
      <name val="Arial"/>
      <family val="2"/>
    </font>
    <font>
      <b/>
      <sz val="8"/>
      <color indexed="1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0" borderId="0" xfId="0" applyAlignment="1">
      <alignment horizontal="center"/>
    </xf>
    <xf numFmtId="0" fontId="0" fillId="7" borderId="0" xfId="0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8" borderId="0" xfId="0" applyFont="1" applyFill="1" applyAlignment="1">
      <alignment horizontal="right"/>
    </xf>
    <xf numFmtId="0" fontId="0" fillId="9" borderId="0" xfId="0" applyFill="1" applyAlignment="1">
      <alignment/>
    </xf>
    <xf numFmtId="0" fontId="1" fillId="9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0" fillId="10" borderId="0" xfId="0" applyFill="1" applyAlignment="1">
      <alignment/>
    </xf>
    <xf numFmtId="0" fontId="0" fillId="10" borderId="0" xfId="0" applyFont="1" applyFill="1" applyAlignment="1">
      <alignment/>
    </xf>
    <xf numFmtId="0" fontId="1" fillId="10" borderId="0" xfId="0" applyFont="1" applyFill="1" applyAlignment="1">
      <alignment horizontal="center"/>
    </xf>
    <xf numFmtId="0" fontId="2" fillId="10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5" borderId="0" xfId="0" applyFont="1" applyFill="1" applyAlignment="1">
      <alignment/>
    </xf>
    <xf numFmtId="0" fontId="6" fillId="0" borderId="0" xfId="0" applyFont="1" applyAlignment="1">
      <alignment/>
    </xf>
    <xf numFmtId="0" fontId="2" fillId="8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11" borderId="0" xfId="0" applyFill="1" applyAlignment="1">
      <alignment/>
    </xf>
    <xf numFmtId="0" fontId="1" fillId="11" borderId="0" xfId="0" applyFont="1" applyFill="1" applyAlignment="1">
      <alignment horizontal="center"/>
    </xf>
    <xf numFmtId="0" fontId="2" fillId="11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1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" fillId="2" borderId="0" xfId="0" applyFont="1" applyFill="1" applyAlignment="1">
      <alignment/>
    </xf>
    <xf numFmtId="0" fontId="1" fillId="7" borderId="0" xfId="0" applyFont="1" applyFill="1" applyAlignment="1">
      <alignment/>
    </xf>
    <xf numFmtId="0" fontId="1" fillId="7" borderId="0" xfId="0" applyFont="1" applyFill="1" applyAlignment="1">
      <alignment horizontal="left"/>
    </xf>
    <xf numFmtId="0" fontId="1" fillId="13" borderId="0" xfId="0" applyFont="1" applyFill="1" applyAlignment="1">
      <alignment/>
    </xf>
    <xf numFmtId="0" fontId="1" fillId="13" borderId="0" xfId="0" applyFont="1" applyFill="1" applyAlignment="1" quotePrefix="1">
      <alignment/>
    </xf>
    <xf numFmtId="0" fontId="0" fillId="13" borderId="0" xfId="0" applyFill="1" applyAlignment="1">
      <alignment/>
    </xf>
    <xf numFmtId="174" fontId="1" fillId="13" borderId="0" xfId="0" applyNumberFormat="1" applyFont="1" applyFill="1" applyAlignment="1">
      <alignment horizontal="left"/>
    </xf>
    <xf numFmtId="0" fontId="1" fillId="0" borderId="0" xfId="0" applyFont="1" applyAlignment="1">
      <alignment horizontal="left"/>
    </xf>
    <xf numFmtId="0" fontId="0" fillId="12" borderId="0" xfId="0" applyFill="1" applyAlignment="1">
      <alignment/>
    </xf>
    <xf numFmtId="0" fontId="0" fillId="7" borderId="0" xfId="0" applyFont="1" applyFill="1" applyAlignment="1">
      <alignment/>
    </xf>
    <xf numFmtId="0" fontId="0" fillId="12" borderId="0" xfId="0" applyFont="1" applyFill="1" applyAlignment="1">
      <alignment/>
    </xf>
    <xf numFmtId="0" fontId="1" fillId="8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14" borderId="0" xfId="0" applyFont="1" applyFill="1" applyAlignment="1">
      <alignment horizontal="center"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1" fillId="16" borderId="0" xfId="0" applyFont="1" applyFill="1" applyAlignment="1">
      <alignment/>
    </xf>
    <xf numFmtId="0" fontId="0" fillId="17" borderId="0" xfId="0" applyFill="1" applyAlignment="1">
      <alignment/>
    </xf>
    <xf numFmtId="0" fontId="1" fillId="18" borderId="0" xfId="0" applyFont="1" applyFill="1" applyAlignment="1">
      <alignment/>
    </xf>
    <xf numFmtId="0" fontId="0" fillId="18" borderId="0" xfId="0" applyFill="1" applyAlignment="1">
      <alignment/>
    </xf>
    <xf numFmtId="0" fontId="8" fillId="18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2" fontId="0" fillId="17" borderId="0" xfId="0" applyNumberFormat="1" applyFill="1" applyAlignment="1">
      <alignment horizontal="left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175" fontId="1" fillId="3" borderId="0" xfId="0" applyNumberFormat="1" applyFont="1" applyFill="1" applyAlignment="1">
      <alignment/>
    </xf>
    <xf numFmtId="175" fontId="1" fillId="7" borderId="0" xfId="0" applyNumberFormat="1" applyFont="1" applyFill="1" applyAlignment="1">
      <alignment horizontal="right"/>
    </xf>
    <xf numFmtId="174" fontId="1" fillId="18" borderId="0" xfId="0" applyNumberFormat="1" applyFont="1" applyFill="1" applyAlignment="1">
      <alignment horizontal="right"/>
    </xf>
    <xf numFmtId="0" fontId="7" fillId="3" borderId="0" xfId="0" applyFont="1" applyFill="1" applyAlignment="1">
      <alignment/>
    </xf>
    <xf numFmtId="0" fontId="11" fillId="0" borderId="0" xfId="0" applyFont="1" applyAlignment="1">
      <alignment/>
    </xf>
    <xf numFmtId="0" fontId="2" fillId="19" borderId="0" xfId="0" applyFont="1" applyFill="1" applyAlignment="1">
      <alignment horizontal="center"/>
    </xf>
    <xf numFmtId="0" fontId="0" fillId="19" borderId="0" xfId="0" applyFill="1" applyAlignment="1">
      <alignment/>
    </xf>
    <xf numFmtId="0" fontId="1" fillId="19" borderId="0" xfId="0" applyFont="1" applyFill="1" applyAlignment="1">
      <alignment/>
    </xf>
    <xf numFmtId="0" fontId="1" fillId="19" borderId="0" xfId="0" applyFont="1" applyFill="1" applyAlignment="1">
      <alignment horizontal="center"/>
    </xf>
    <xf numFmtId="0" fontId="2" fillId="0" borderId="0" xfId="0" applyFont="1" applyAlignment="1" quotePrefix="1">
      <alignment horizontal="center"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3" fillId="0" borderId="0" xfId="0" applyFont="1" applyAlignment="1">
      <alignment/>
    </xf>
    <xf numFmtId="0" fontId="16" fillId="5" borderId="0" xfId="0" applyFont="1" applyFill="1" applyAlignment="1">
      <alignment/>
    </xf>
    <xf numFmtId="0" fontId="16" fillId="5" borderId="0" xfId="0" applyFont="1" applyFill="1" applyAlignment="1">
      <alignment horizontal="left"/>
    </xf>
    <xf numFmtId="0" fontId="17" fillId="5" borderId="0" xfId="0" applyFont="1" applyFill="1" applyAlignment="1">
      <alignment/>
    </xf>
    <xf numFmtId="0" fontId="19" fillId="20" borderId="0" xfId="0" applyFont="1" applyFill="1" applyAlignment="1">
      <alignment/>
    </xf>
    <xf numFmtId="0" fontId="20" fillId="20" borderId="0" xfId="0" applyFont="1" applyFill="1" applyAlignment="1">
      <alignment/>
    </xf>
    <xf numFmtId="0" fontId="22" fillId="5" borderId="0" xfId="0" applyFont="1" applyFill="1" applyAlignment="1">
      <alignment/>
    </xf>
    <xf numFmtId="0" fontId="21" fillId="0" borderId="0" xfId="0" applyFont="1" applyAlignment="1">
      <alignment/>
    </xf>
    <xf numFmtId="0" fontId="23" fillId="20" borderId="0" xfId="0" applyFont="1" applyFill="1" applyAlignment="1" quotePrefix="1">
      <alignment/>
    </xf>
    <xf numFmtId="0" fontId="24" fillId="20" borderId="0" xfId="0" applyFont="1" applyFill="1" applyAlignment="1">
      <alignment/>
    </xf>
    <xf numFmtId="0" fontId="22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 quotePrefix="1">
      <alignment/>
    </xf>
    <xf numFmtId="0" fontId="17" fillId="0" borderId="0" xfId="0" applyFont="1" applyAlignment="1">
      <alignment horizontal="left"/>
    </xf>
    <xf numFmtId="0" fontId="0" fillId="18" borderId="0" xfId="0" applyFill="1" applyAlignment="1" quotePrefix="1">
      <alignment/>
    </xf>
    <xf numFmtId="0" fontId="16" fillId="0" borderId="0" xfId="0" applyFont="1" applyAlignment="1">
      <alignment/>
    </xf>
    <xf numFmtId="0" fontId="0" fillId="21" borderId="0" xfId="0" applyFill="1" applyAlignment="1">
      <alignment/>
    </xf>
    <xf numFmtId="0" fontId="25" fillId="21" borderId="0" xfId="0" applyFont="1" applyFill="1" applyAlignment="1">
      <alignment/>
    </xf>
    <xf numFmtId="0" fontId="26" fillId="4" borderId="0" xfId="0" applyFont="1" applyFill="1" applyAlignment="1">
      <alignment/>
    </xf>
    <xf numFmtId="0" fontId="0" fillId="22" borderId="0" xfId="0" applyFill="1" applyAlignment="1">
      <alignment/>
    </xf>
    <xf numFmtId="0" fontId="18" fillId="22" borderId="0" xfId="0" applyFont="1" applyFill="1" applyAlignment="1">
      <alignment/>
    </xf>
    <xf numFmtId="0" fontId="18" fillId="13" borderId="0" xfId="0" applyFont="1" applyFill="1" applyAlignment="1">
      <alignment/>
    </xf>
    <xf numFmtId="0" fontId="18" fillId="12" borderId="0" xfId="0" applyFont="1" applyFill="1" applyAlignment="1">
      <alignment/>
    </xf>
    <xf numFmtId="0" fontId="27" fillId="5" borderId="0" xfId="0" applyFont="1" applyFill="1" applyAlignment="1">
      <alignment/>
    </xf>
    <xf numFmtId="0" fontId="28" fillId="5" borderId="0" xfId="0" applyFont="1" applyFill="1" applyAlignment="1">
      <alignment/>
    </xf>
    <xf numFmtId="0" fontId="23" fillId="15" borderId="0" xfId="0" applyFont="1" applyFill="1" applyAlignment="1" quotePrefix="1">
      <alignment/>
    </xf>
    <xf numFmtId="20" fontId="23" fillId="15" borderId="0" xfId="0" applyNumberFormat="1" applyFont="1" applyFill="1" applyAlignment="1">
      <alignment/>
    </xf>
    <xf numFmtId="0" fontId="23" fillId="18" borderId="0" xfId="0" applyFont="1" applyFill="1" applyAlignment="1" quotePrefix="1">
      <alignment/>
    </xf>
    <xf numFmtId="0" fontId="23" fillId="18" borderId="0" xfId="0" applyFont="1" applyFill="1" applyAlignment="1">
      <alignment/>
    </xf>
    <xf numFmtId="0" fontId="23" fillId="21" borderId="0" xfId="0" applyFont="1" applyFill="1" applyAlignment="1" quotePrefix="1">
      <alignment/>
    </xf>
    <xf numFmtId="0" fontId="23" fillId="4" borderId="0" xfId="0" applyFont="1" applyFill="1" applyAlignment="1" quotePrefix="1">
      <alignment/>
    </xf>
    <xf numFmtId="0" fontId="23" fillId="4" borderId="0" xfId="0" applyFont="1" applyFill="1" applyAlignment="1">
      <alignment/>
    </xf>
    <xf numFmtId="0" fontId="23" fillId="22" borderId="0" xfId="0" applyFont="1" applyFill="1" applyAlignment="1" quotePrefix="1">
      <alignment/>
    </xf>
    <xf numFmtId="0" fontId="23" fillId="22" borderId="0" xfId="0" applyFont="1" applyFill="1" applyAlignment="1">
      <alignment/>
    </xf>
    <xf numFmtId="0" fontId="23" fillId="13" borderId="0" xfId="0" applyFont="1" applyFill="1" applyAlignment="1" quotePrefix="1">
      <alignment/>
    </xf>
    <xf numFmtId="0" fontId="23" fillId="13" borderId="0" xfId="0" applyFont="1" applyFill="1" applyAlignment="1">
      <alignment/>
    </xf>
    <xf numFmtId="0" fontId="23" fillId="12" borderId="0" xfId="0" applyFont="1" applyFill="1" applyAlignment="1" quotePrefix="1">
      <alignment/>
    </xf>
    <xf numFmtId="0" fontId="23" fillId="12" borderId="0" xfId="0" applyFont="1" applyFill="1" applyAlignment="1">
      <alignment/>
    </xf>
    <xf numFmtId="0" fontId="30" fillId="20" borderId="0" xfId="0" applyFont="1" applyFill="1" applyAlignment="1" quotePrefix="1">
      <alignment/>
    </xf>
    <xf numFmtId="0" fontId="30" fillId="20" borderId="0" xfId="0" applyFont="1" applyFill="1" applyAlignment="1">
      <alignment/>
    </xf>
    <xf numFmtId="0" fontId="29" fillId="0" borderId="0" xfId="0" applyFont="1" applyAlignment="1" quotePrefix="1">
      <alignment/>
    </xf>
    <xf numFmtId="0" fontId="19" fillId="0" borderId="0" xfId="0" applyFont="1" applyAlignment="1">
      <alignment/>
    </xf>
    <xf numFmtId="0" fontId="10" fillId="0" borderId="0" xfId="0" applyFont="1" applyFill="1" applyAlignment="1">
      <alignment/>
    </xf>
    <xf numFmtId="0" fontId="28" fillId="0" borderId="0" xfId="0" applyFont="1" applyAlignment="1">
      <alignment/>
    </xf>
    <xf numFmtId="0" fontId="17" fillId="0" borderId="0" xfId="0" applyFont="1" applyAlignment="1" quotePrefix="1">
      <alignment horizontal="right"/>
    </xf>
    <xf numFmtId="0" fontId="1" fillId="21" borderId="0" xfId="0" applyFont="1" applyFill="1" applyAlignment="1">
      <alignment/>
    </xf>
    <xf numFmtId="0" fontId="25" fillId="22" borderId="0" xfId="0" applyFont="1" applyFill="1" applyAlignment="1">
      <alignment/>
    </xf>
    <xf numFmtId="0" fontId="25" fillId="13" borderId="0" xfId="0" applyFont="1" applyFill="1" applyAlignment="1">
      <alignment/>
    </xf>
    <xf numFmtId="0" fontId="23" fillId="15" borderId="0" xfId="0" applyFont="1" applyFill="1" applyAlignment="1">
      <alignment/>
    </xf>
    <xf numFmtId="0" fontId="23" fillId="21" borderId="0" xfId="0" applyFont="1" applyFill="1" applyAlignment="1">
      <alignment/>
    </xf>
    <xf numFmtId="0" fontId="23" fillId="20" borderId="0" xfId="0" applyFont="1" applyFill="1" applyAlignment="1">
      <alignment/>
    </xf>
    <xf numFmtId="0" fontId="10" fillId="0" borderId="0" xfId="0" applyFont="1" applyAlignment="1">
      <alignment/>
    </xf>
    <xf numFmtId="0" fontId="17" fillId="0" borderId="0" xfId="0" applyFont="1" applyFill="1" applyAlignment="1">
      <alignment horizontal="right"/>
    </xf>
    <xf numFmtId="0" fontId="17" fillId="0" borderId="0" xfId="0" applyFont="1" applyFill="1" applyAlignment="1">
      <alignment horizontal="left"/>
    </xf>
    <xf numFmtId="0" fontId="1" fillId="9" borderId="0" xfId="0" applyFont="1" applyFill="1" applyAlignment="1">
      <alignment/>
    </xf>
    <xf numFmtId="0" fontId="0" fillId="23" borderId="0" xfId="0" applyFill="1" applyAlignment="1">
      <alignment/>
    </xf>
    <xf numFmtId="0" fontId="1" fillId="23" borderId="0" xfId="0" applyFont="1" applyFill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0" fontId="0" fillId="25" borderId="0" xfId="0" applyFill="1" applyAlignment="1">
      <alignment/>
    </xf>
    <xf numFmtId="0" fontId="1" fillId="25" borderId="0" xfId="0" applyFont="1" applyFill="1" applyAlignment="1">
      <alignment/>
    </xf>
    <xf numFmtId="0" fontId="1" fillId="10" borderId="0" xfId="0" applyFont="1" applyFill="1" applyAlignment="1">
      <alignment/>
    </xf>
    <xf numFmtId="0" fontId="0" fillId="14" borderId="0" xfId="0" applyFill="1" applyAlignment="1">
      <alignment/>
    </xf>
    <xf numFmtId="0" fontId="1" fillId="14" borderId="0" xfId="0" applyFont="1" applyFill="1" applyAlignment="1">
      <alignment/>
    </xf>
    <xf numFmtId="0" fontId="0" fillId="26" borderId="0" xfId="0" applyFill="1" applyAlignment="1">
      <alignment/>
    </xf>
    <xf numFmtId="0" fontId="1" fillId="26" borderId="0" xfId="0" applyFont="1" applyFill="1" applyAlignment="1">
      <alignment/>
    </xf>
    <xf numFmtId="0" fontId="0" fillId="2" borderId="0" xfId="0" applyFont="1" applyFill="1" applyAlignment="1">
      <alignment/>
    </xf>
    <xf numFmtId="0" fontId="31" fillId="22" borderId="0" xfId="0" applyFont="1" applyFill="1" applyAlignment="1">
      <alignment/>
    </xf>
    <xf numFmtId="0" fontId="23" fillId="9" borderId="0" xfId="0" applyFont="1" applyFill="1" applyAlignment="1" quotePrefix="1">
      <alignment/>
    </xf>
    <xf numFmtId="0" fontId="23" fillId="9" borderId="0" xfId="0" applyFont="1" applyFill="1" applyAlignment="1">
      <alignment/>
    </xf>
    <xf numFmtId="0" fontId="23" fillId="23" borderId="0" xfId="0" applyFont="1" applyFill="1" applyAlignment="1" quotePrefix="1">
      <alignment/>
    </xf>
    <xf numFmtId="0" fontId="23" fillId="23" borderId="0" xfId="0" applyFont="1" applyFill="1" applyAlignment="1">
      <alignment/>
    </xf>
    <xf numFmtId="0" fontId="23" fillId="24" borderId="0" xfId="0" applyFont="1" applyFill="1" applyAlignment="1" quotePrefix="1">
      <alignment/>
    </xf>
    <xf numFmtId="0" fontId="23" fillId="24" borderId="0" xfId="0" applyFont="1" applyFill="1" applyAlignment="1">
      <alignment/>
    </xf>
    <xf numFmtId="0" fontId="23" fillId="25" borderId="0" xfId="0" applyFont="1" applyFill="1" applyAlignment="1" quotePrefix="1">
      <alignment/>
    </xf>
    <xf numFmtId="0" fontId="23" fillId="25" borderId="0" xfId="0" applyFont="1" applyFill="1" applyAlignment="1">
      <alignment/>
    </xf>
    <xf numFmtId="0" fontId="23" fillId="10" borderId="0" xfId="0" applyFont="1" applyFill="1" applyAlignment="1" quotePrefix="1">
      <alignment/>
    </xf>
    <xf numFmtId="0" fontId="23" fillId="10" borderId="0" xfId="0" applyFont="1" applyFill="1" applyAlignment="1">
      <alignment/>
    </xf>
    <xf numFmtId="0" fontId="23" fillId="14" borderId="0" xfId="0" applyFont="1" applyFill="1" applyAlignment="1" quotePrefix="1">
      <alignment/>
    </xf>
    <xf numFmtId="0" fontId="23" fillId="14" borderId="0" xfId="0" applyFont="1" applyFill="1" applyAlignment="1">
      <alignment/>
    </xf>
    <xf numFmtId="0" fontId="23" fillId="26" borderId="0" xfId="0" applyFont="1" applyFill="1" applyAlignment="1" quotePrefix="1">
      <alignment/>
    </xf>
    <xf numFmtId="0" fontId="23" fillId="26" borderId="0" xfId="0" applyFont="1" applyFill="1" applyAlignment="1">
      <alignment/>
    </xf>
    <xf numFmtId="0" fontId="23" fillId="2" borderId="0" xfId="0" applyFont="1" applyFill="1" applyAlignment="1" quotePrefix="1">
      <alignment/>
    </xf>
    <xf numFmtId="0" fontId="23" fillId="2" borderId="0" xfId="0" applyFont="1" applyFill="1" applyAlignment="1">
      <alignment/>
    </xf>
    <xf numFmtId="0" fontId="23" fillId="7" borderId="0" xfId="0" applyFont="1" applyFill="1" applyAlignment="1" quotePrefix="1">
      <alignment/>
    </xf>
    <xf numFmtId="0" fontId="23" fillId="7" borderId="0" xfId="0" applyFont="1" applyFill="1" applyAlignment="1">
      <alignment/>
    </xf>
    <xf numFmtId="0" fontId="27" fillId="0" borderId="0" xfId="0" applyFont="1" applyFill="1" applyAlignment="1">
      <alignment/>
    </xf>
    <xf numFmtId="0" fontId="21" fillId="15" borderId="0" xfId="0" applyFont="1" applyFill="1" applyAlignment="1">
      <alignment horizontal="right"/>
    </xf>
    <xf numFmtId="0" fontId="27" fillId="15" borderId="0" xfId="0" applyFont="1" applyFill="1" applyAlignment="1">
      <alignment/>
    </xf>
    <xf numFmtId="0" fontId="28" fillId="15" borderId="0" xfId="0" applyFont="1" applyFill="1" applyAlignment="1">
      <alignment/>
    </xf>
    <xf numFmtId="0" fontId="31" fillId="4" borderId="0" xfId="0" applyFont="1" applyFill="1" applyAlignment="1">
      <alignment/>
    </xf>
    <xf numFmtId="0" fontId="1" fillId="22" borderId="0" xfId="0" applyFont="1" applyFill="1" applyAlignment="1">
      <alignment/>
    </xf>
    <xf numFmtId="0" fontId="31" fillId="13" borderId="0" xfId="0" applyFont="1" applyFill="1" applyAlignment="1">
      <alignment/>
    </xf>
    <xf numFmtId="0" fontId="25" fillId="12" borderId="0" xfId="0" applyFont="1" applyFill="1" applyAlignment="1">
      <alignment/>
    </xf>
    <xf numFmtId="0" fontId="17" fillId="0" borderId="0" xfId="0" applyFont="1" applyAlignment="1" quotePrefix="1">
      <alignment/>
    </xf>
    <xf numFmtId="0" fontId="17" fillId="0" borderId="0" xfId="0" applyFont="1" applyFill="1" applyAlignment="1" quotePrefix="1">
      <alignment horizontal="right"/>
    </xf>
    <xf numFmtId="0" fontId="17" fillId="0" borderId="0" xfId="0" applyFont="1" applyFill="1" applyAlignment="1">
      <alignment/>
    </xf>
    <xf numFmtId="0" fontId="21" fillId="5" borderId="0" xfId="0" applyFont="1" applyFill="1" applyAlignment="1">
      <alignment horizontal="right"/>
    </xf>
    <xf numFmtId="0" fontId="0" fillId="9" borderId="0" xfId="0" applyFont="1" applyFill="1" applyAlignment="1">
      <alignment/>
    </xf>
    <xf numFmtId="0" fontId="24" fillId="23" borderId="0" xfId="0" applyFont="1" applyFill="1" applyAlignment="1">
      <alignment/>
    </xf>
    <xf numFmtId="0" fontId="32" fillId="4" borderId="0" xfId="0" applyFont="1" applyFill="1" applyAlignment="1">
      <alignment/>
    </xf>
    <xf numFmtId="0" fontId="33" fillId="12" borderId="0" xfId="0" applyFont="1" applyFill="1" applyAlignment="1">
      <alignment/>
    </xf>
    <xf numFmtId="0" fontId="31" fillId="12" borderId="0" xfId="0" applyFont="1" applyFill="1" applyAlignment="1">
      <alignment/>
    </xf>
    <xf numFmtId="0" fontId="1" fillId="12" borderId="0" xfId="0" applyFont="1" applyFill="1" applyAlignment="1">
      <alignment/>
    </xf>
    <xf numFmtId="0" fontId="17" fillId="12" borderId="0" xfId="0" applyFont="1" applyFill="1" applyAlignment="1">
      <alignment/>
    </xf>
    <xf numFmtId="20" fontId="34" fillId="0" borderId="0" xfId="0" applyNumberFormat="1" applyFont="1" applyAlignment="1" quotePrefix="1">
      <alignment/>
    </xf>
    <xf numFmtId="0" fontId="34" fillId="0" borderId="0" xfId="0" applyFont="1" applyAlignment="1" quotePrefix="1">
      <alignment/>
    </xf>
    <xf numFmtId="0" fontId="36" fillId="17" borderId="0" xfId="0" applyFont="1" applyFill="1" applyAlignment="1">
      <alignment/>
    </xf>
    <xf numFmtId="0" fontId="37" fillId="17" borderId="0" xfId="0" applyFont="1" applyFill="1" applyAlignment="1">
      <alignment/>
    </xf>
    <xf numFmtId="0" fontId="17" fillId="17" borderId="0" xfId="0" applyFont="1" applyFill="1" applyAlignment="1">
      <alignment/>
    </xf>
    <xf numFmtId="0" fontId="0" fillId="17" borderId="0" xfId="0" applyFont="1" applyFill="1" applyAlignment="1">
      <alignment/>
    </xf>
    <xf numFmtId="0" fontId="1" fillId="17" borderId="0" xfId="0" applyFont="1" applyFill="1" applyAlignment="1">
      <alignment/>
    </xf>
    <xf numFmtId="0" fontId="16" fillId="17" borderId="0" xfId="0" applyFont="1" applyFill="1" applyAlignment="1">
      <alignment/>
    </xf>
    <xf numFmtId="0" fontId="34" fillId="17" borderId="0" xfId="0" applyFont="1" applyFill="1" applyAlignment="1">
      <alignment/>
    </xf>
    <xf numFmtId="0" fontId="7" fillId="17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18" fillId="19" borderId="0" xfId="0" applyFont="1" applyFill="1" applyAlignment="1">
      <alignment/>
    </xf>
    <xf numFmtId="3" fontId="23" fillId="19" borderId="0" xfId="0" applyNumberFormat="1" applyFont="1" applyFill="1" applyAlignment="1" quotePrefix="1">
      <alignment/>
    </xf>
    <xf numFmtId="0" fontId="23" fillId="19" borderId="0" xfId="0" applyFont="1" applyFill="1" applyAlignment="1" quotePrefix="1">
      <alignment/>
    </xf>
    <xf numFmtId="0" fontId="16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5" borderId="0" xfId="0" applyFont="1" applyFill="1" applyAlignment="1">
      <alignment horizontal="left"/>
    </xf>
    <xf numFmtId="0" fontId="16" fillId="15" borderId="0" xfId="0" applyFont="1" applyFill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2" fontId="17" fillId="0" borderId="0" xfId="0" applyNumberFormat="1" applyFont="1" applyAlignment="1">
      <alignment horizontal="center"/>
    </xf>
    <xf numFmtId="174" fontId="17" fillId="0" borderId="0" xfId="0" applyNumberFormat="1" applyFont="1" applyAlignment="1">
      <alignment horizontal="center"/>
    </xf>
    <xf numFmtId="0" fontId="16" fillId="21" borderId="0" xfId="0" applyFont="1" applyFill="1" applyAlignment="1">
      <alignment horizontal="center"/>
    </xf>
    <xf numFmtId="0" fontId="16" fillId="8" borderId="0" xfId="0" applyFont="1" applyFill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6" fillId="12" borderId="0" xfId="0" applyFont="1" applyFill="1" applyAlignment="1">
      <alignment horizontal="center"/>
    </xf>
    <xf numFmtId="0" fontId="16" fillId="11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6" fillId="15" borderId="0" xfId="0" applyFont="1" applyFill="1" applyAlignment="1">
      <alignment horizontal="center"/>
    </xf>
    <xf numFmtId="0" fontId="16" fillId="19" borderId="0" xfId="0" applyFont="1" applyFill="1" applyAlignment="1">
      <alignment horizontal="center"/>
    </xf>
    <xf numFmtId="0" fontId="16" fillId="22" borderId="0" xfId="0" applyFont="1" applyFill="1" applyAlignment="1">
      <alignment horizontal="center"/>
    </xf>
    <xf numFmtId="0" fontId="16" fillId="8" borderId="0" xfId="0" applyFont="1" applyFill="1" applyAlignment="1">
      <alignment/>
    </xf>
    <xf numFmtId="0" fontId="0" fillId="8" borderId="0" xfId="0" applyFill="1" applyAlignment="1">
      <alignment/>
    </xf>
    <xf numFmtId="0" fontId="17" fillId="8" borderId="0" xfId="0" applyFont="1" applyFill="1" applyAlignment="1">
      <alignment horizontal="center"/>
    </xf>
    <xf numFmtId="0" fontId="17" fillId="8" borderId="0" xfId="0" applyFont="1" applyFill="1" applyAlignment="1">
      <alignment horizontal="left"/>
    </xf>
    <xf numFmtId="0" fontId="16" fillId="12" borderId="0" xfId="0" applyFont="1" applyFill="1" applyAlignment="1">
      <alignment horizontal="left"/>
    </xf>
    <xf numFmtId="0" fontId="17" fillId="12" borderId="0" xfId="0" applyFont="1" applyFill="1" applyAlignment="1">
      <alignment horizontal="center"/>
    </xf>
    <xf numFmtId="0" fontId="27" fillId="12" borderId="0" xfId="0" applyFont="1" applyFill="1" applyAlignment="1">
      <alignment horizontal="center"/>
    </xf>
    <xf numFmtId="0" fontId="42" fillId="12" borderId="0" xfId="0" applyFont="1" applyFill="1" applyAlignment="1">
      <alignment horizontal="center"/>
    </xf>
    <xf numFmtId="0" fontId="17" fillId="22" borderId="0" xfId="0" applyFont="1" applyFill="1" applyAlignment="1">
      <alignment horizontal="center"/>
    </xf>
    <xf numFmtId="0" fontId="42" fillId="22" borderId="0" xfId="0" applyFont="1" applyFill="1" applyAlignment="1">
      <alignment horizontal="center"/>
    </xf>
    <xf numFmtId="0" fontId="27" fillId="22" borderId="0" xfId="0" applyFont="1" applyFill="1" applyAlignment="1">
      <alignment horizontal="center"/>
    </xf>
    <xf numFmtId="2" fontId="27" fillId="15" borderId="0" xfId="0" applyNumberFormat="1" applyFont="1" applyFill="1" applyAlignment="1">
      <alignment horizontal="center"/>
    </xf>
    <xf numFmtId="0" fontId="17" fillId="15" borderId="0" xfId="0" applyFont="1" applyFill="1" applyAlignment="1">
      <alignment horizontal="center"/>
    </xf>
    <xf numFmtId="2" fontId="17" fillId="15" borderId="0" xfId="0" applyNumberFormat="1" applyFont="1" applyFill="1" applyAlignment="1">
      <alignment horizontal="center"/>
    </xf>
    <xf numFmtId="2" fontId="42" fillId="15" borderId="0" xfId="0" applyNumberFormat="1" applyFont="1" applyFill="1" applyAlignment="1">
      <alignment horizontal="center"/>
    </xf>
    <xf numFmtId="0" fontId="16" fillId="18" borderId="0" xfId="0" applyFont="1" applyFill="1" applyAlignment="1">
      <alignment/>
    </xf>
    <xf numFmtId="0" fontId="16" fillId="18" borderId="0" xfId="0" applyFont="1" applyFill="1" applyAlignment="1">
      <alignment horizontal="center"/>
    </xf>
    <xf numFmtId="0" fontId="16" fillId="18" borderId="0" xfId="0" applyFont="1" applyFill="1" applyAlignment="1">
      <alignment horizontal="left"/>
    </xf>
    <xf numFmtId="0" fontId="40" fillId="18" borderId="0" xfId="0" applyFont="1" applyFill="1" applyAlignment="1">
      <alignment horizontal="center"/>
    </xf>
    <xf numFmtId="0" fontId="22" fillId="18" borderId="0" xfId="0" applyFont="1" applyFill="1" applyAlignment="1">
      <alignment horizontal="center"/>
    </xf>
    <xf numFmtId="174" fontId="17" fillId="18" borderId="0" xfId="0" applyNumberFormat="1" applyFont="1" applyFill="1" applyAlignment="1">
      <alignment horizontal="center"/>
    </xf>
    <xf numFmtId="0" fontId="17" fillId="18" borderId="0" xfId="0" applyFont="1" applyFill="1" applyAlignment="1">
      <alignment horizontal="center"/>
    </xf>
    <xf numFmtId="0" fontId="42" fillId="18" borderId="0" xfId="0" applyFont="1" applyFill="1" applyAlignment="1">
      <alignment horizontal="center"/>
    </xf>
    <xf numFmtId="0" fontId="16" fillId="15" borderId="0" xfId="0" applyFont="1" applyFill="1" applyAlignment="1">
      <alignment horizontal="left"/>
    </xf>
    <xf numFmtId="0" fontId="17" fillId="12" borderId="0" xfId="0" applyFont="1" applyFill="1" applyAlignment="1">
      <alignment horizontal="center"/>
    </xf>
    <xf numFmtId="0" fontId="17" fillId="22" borderId="0" xfId="0" applyFont="1" applyFill="1" applyAlignment="1">
      <alignment horizontal="center"/>
    </xf>
    <xf numFmtId="0" fontId="16" fillId="7" borderId="0" xfId="0" applyFont="1" applyFill="1" applyAlignment="1">
      <alignment horizontal="center"/>
    </xf>
    <xf numFmtId="0" fontId="16" fillId="7" borderId="0" xfId="0" applyFont="1" applyFill="1" applyAlignment="1">
      <alignment/>
    </xf>
    <xf numFmtId="0" fontId="16" fillId="13" borderId="0" xfId="0" applyFont="1" applyFill="1" applyAlignment="1">
      <alignment horizontal="center"/>
    </xf>
    <xf numFmtId="0" fontId="16" fillId="17" borderId="0" xfId="0" applyFont="1" applyFill="1" applyAlignment="1">
      <alignment horizontal="center"/>
    </xf>
    <xf numFmtId="0" fontId="16" fillId="26" borderId="0" xfId="0" applyFont="1" applyFill="1" applyAlignment="1">
      <alignment horizontal="center"/>
    </xf>
    <xf numFmtId="0" fontId="17" fillId="18" borderId="0" xfId="0" applyFont="1" applyFill="1" applyAlignment="1">
      <alignment horizontal="center"/>
    </xf>
    <xf numFmtId="2" fontId="17" fillId="18" borderId="0" xfId="0" applyNumberFormat="1" applyFont="1" applyFill="1" applyAlignment="1">
      <alignment horizontal="center"/>
    </xf>
    <xf numFmtId="2" fontId="17" fillId="18" borderId="0" xfId="0" applyNumberFormat="1" applyFont="1" applyFill="1" applyAlignment="1">
      <alignment horizontal="center"/>
    </xf>
    <xf numFmtId="2" fontId="27" fillId="18" borderId="0" xfId="0" applyNumberFormat="1" applyFont="1" applyFill="1" applyAlignment="1">
      <alignment horizontal="center"/>
    </xf>
    <xf numFmtId="2" fontId="17" fillId="15" borderId="0" xfId="0" applyNumberFormat="1" applyFont="1" applyFill="1" applyAlignment="1">
      <alignment horizontal="center"/>
    </xf>
    <xf numFmtId="0" fontId="17" fillId="15" borderId="0" xfId="0" applyFont="1" applyFill="1" applyAlignment="1">
      <alignment horizontal="center"/>
    </xf>
    <xf numFmtId="0" fontId="17" fillId="17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16" fillId="3" borderId="0" xfId="0" applyFont="1" applyFill="1" applyAlignment="1">
      <alignment horizontal="center"/>
    </xf>
    <xf numFmtId="0" fontId="16" fillId="23" borderId="0" xfId="0" applyFont="1" applyFill="1" applyAlignment="1">
      <alignment/>
    </xf>
    <xf numFmtId="0" fontId="16" fillId="23" borderId="0" xfId="0" applyFont="1" applyFill="1" applyAlignment="1">
      <alignment horizontal="center"/>
    </xf>
    <xf numFmtId="0" fontId="49" fillId="23" borderId="0" xfId="0" applyFont="1" applyFill="1" applyAlignment="1">
      <alignment horizontal="center"/>
    </xf>
    <xf numFmtId="0" fontId="17" fillId="23" borderId="0" xfId="0" applyFont="1" applyFill="1" applyAlignment="1">
      <alignment horizontal="center"/>
    </xf>
    <xf numFmtId="0" fontId="17" fillId="23" borderId="0" xfId="0" applyFont="1" applyFill="1" applyAlignment="1">
      <alignment horizontal="center"/>
    </xf>
    <xf numFmtId="0" fontId="42" fillId="23" borderId="0" xfId="0" applyFont="1" applyFill="1" applyAlignment="1">
      <alignment horizontal="center"/>
    </xf>
    <xf numFmtId="0" fontId="17" fillId="23" borderId="0" xfId="0" applyFont="1" applyFill="1" applyAlignment="1">
      <alignment/>
    </xf>
    <xf numFmtId="0" fontId="17" fillId="23" borderId="0" xfId="0" applyFont="1" applyFill="1" applyAlignment="1" quotePrefix="1">
      <alignment horizontal="center"/>
    </xf>
    <xf numFmtId="0" fontId="16" fillId="8" borderId="0" xfId="0" applyFont="1" applyFill="1" applyAlignment="1">
      <alignment horizontal="left"/>
    </xf>
    <xf numFmtId="0" fontId="16" fillId="10" borderId="0" xfId="0" applyFont="1" applyFill="1" applyAlignment="1">
      <alignment/>
    </xf>
    <xf numFmtId="0" fontId="17" fillId="10" borderId="0" xfId="0" applyFont="1" applyFill="1" applyAlignment="1">
      <alignment horizontal="center"/>
    </xf>
    <xf numFmtId="0" fontId="16" fillId="10" borderId="0" xfId="0" applyFont="1" applyFill="1" applyAlignment="1">
      <alignment horizontal="center"/>
    </xf>
    <xf numFmtId="0" fontId="17" fillId="27" borderId="0" xfId="0" applyFont="1" applyFill="1" applyAlignment="1">
      <alignment horizontal="left"/>
    </xf>
    <xf numFmtId="0" fontId="16" fillId="22" borderId="0" xfId="0" applyFont="1" applyFill="1" applyAlignment="1">
      <alignment horizontal="left"/>
    </xf>
    <xf numFmtId="0" fontId="0" fillId="18" borderId="0" xfId="0" applyFill="1" applyAlignment="1">
      <alignment horizontal="center"/>
    </xf>
    <xf numFmtId="0" fontId="16" fillId="3" borderId="0" xfId="0" applyFont="1" applyFill="1" applyAlignment="1">
      <alignment/>
    </xf>
    <xf numFmtId="12" fontId="40" fillId="12" borderId="0" xfId="0" applyNumberFormat="1" applyFont="1" applyFill="1" applyAlignment="1">
      <alignment horizontal="center"/>
    </xf>
    <xf numFmtId="0" fontId="17" fillId="17" borderId="0" xfId="0" applyFont="1" applyFill="1" applyAlignment="1" quotePrefix="1">
      <alignment horizontal="center"/>
    </xf>
    <xf numFmtId="0" fontId="17" fillId="12" borderId="0" xfId="0" applyFont="1" applyFill="1" applyAlignment="1" quotePrefix="1">
      <alignment horizontal="center"/>
    </xf>
    <xf numFmtId="0" fontId="16" fillId="0" borderId="0" xfId="0" applyFont="1" applyAlignment="1">
      <alignment horizontal="center"/>
    </xf>
    <xf numFmtId="0" fontId="17" fillId="17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183" fontId="17" fillId="16" borderId="0" xfId="0" applyNumberFormat="1" applyFont="1" applyFill="1" applyAlignment="1">
      <alignment horizontal="center"/>
    </xf>
    <xf numFmtId="183" fontId="17" fillId="0" borderId="0" xfId="0" applyNumberFormat="1" applyFont="1" applyAlignment="1">
      <alignment horizontal="center"/>
    </xf>
    <xf numFmtId="183" fontId="17" fillId="16" borderId="0" xfId="0" applyNumberFormat="1" applyFont="1" applyFill="1" applyAlignment="1" quotePrefix="1">
      <alignment horizontal="center"/>
    </xf>
    <xf numFmtId="0" fontId="16" fillId="16" borderId="0" xfId="0" applyFont="1" applyFill="1" applyAlignment="1">
      <alignment/>
    </xf>
    <xf numFmtId="0" fontId="16" fillId="16" borderId="0" xfId="0" applyFont="1" applyFill="1" applyAlignment="1">
      <alignment horizontal="center"/>
    </xf>
    <xf numFmtId="2" fontId="17" fillId="15" borderId="0" xfId="0" applyNumberFormat="1" applyFont="1" applyFill="1" applyAlignment="1" quotePrefix="1">
      <alignment horizontal="center"/>
    </xf>
    <xf numFmtId="183" fontId="17" fillId="16" borderId="0" xfId="0" applyNumberFormat="1" applyFont="1" applyFill="1" applyAlignment="1">
      <alignment horizontal="center"/>
    </xf>
    <xf numFmtId="183" fontId="17" fillId="16" borderId="0" xfId="0" applyNumberFormat="1" applyFont="1" applyFill="1" applyAlignment="1" quotePrefix="1">
      <alignment horizontal="center"/>
    </xf>
    <xf numFmtId="0" fontId="0" fillId="16" borderId="0" xfId="0" applyFont="1" applyFill="1" applyAlignment="1">
      <alignment/>
    </xf>
    <xf numFmtId="2" fontId="17" fillId="15" borderId="0" xfId="0" applyNumberFormat="1" applyFont="1" applyFill="1" applyAlignment="1">
      <alignment/>
    </xf>
    <xf numFmtId="0" fontId="0" fillId="16" borderId="0" xfId="0" applyFill="1" applyAlignment="1">
      <alignment/>
    </xf>
    <xf numFmtId="0" fontId="17" fillId="23" borderId="0" xfId="0" applyFont="1" applyFill="1" applyAlignment="1" quotePrefix="1">
      <alignment horizontal="center"/>
    </xf>
    <xf numFmtId="176" fontId="17" fillId="18" borderId="0" xfId="0" applyNumberFormat="1" applyFont="1" applyFill="1" applyAlignment="1">
      <alignment horizontal="center"/>
    </xf>
    <xf numFmtId="0" fontId="44" fillId="18" borderId="0" xfId="0" applyFont="1" applyFill="1" applyAlignment="1">
      <alignment horizontal="center"/>
    </xf>
    <xf numFmtId="0" fontId="17" fillId="18" borderId="0" xfId="0" applyFont="1" applyFill="1" applyAlignment="1" quotePrefix="1">
      <alignment horizontal="center"/>
    </xf>
    <xf numFmtId="0" fontId="17" fillId="15" borderId="0" xfId="0" applyFont="1" applyFill="1" applyAlignment="1" quotePrefix="1">
      <alignment horizontal="center"/>
    </xf>
    <xf numFmtId="0" fontId="17" fillId="15" borderId="0" xfId="0" applyFont="1" applyFill="1" applyAlignment="1">
      <alignment/>
    </xf>
    <xf numFmtId="0" fontId="16" fillId="27" borderId="0" xfId="0" applyFont="1" applyFill="1" applyAlignment="1">
      <alignment horizontal="left"/>
    </xf>
    <xf numFmtId="174" fontId="17" fillId="18" borderId="0" xfId="0" applyNumberFormat="1" applyFont="1" applyFill="1" applyAlignment="1">
      <alignment horizontal="center"/>
    </xf>
    <xf numFmtId="0" fontId="17" fillId="17" borderId="0" xfId="0" applyFont="1" applyFill="1" applyAlignment="1" quotePrefix="1">
      <alignment/>
    </xf>
    <xf numFmtId="0" fontId="17" fillId="27" borderId="0" xfId="0" applyFont="1" applyFill="1" applyAlignment="1" quotePrefix="1">
      <alignment horizontal="left"/>
    </xf>
    <xf numFmtId="0" fontId="17" fillId="27" borderId="0" xfId="0" applyFont="1" applyFill="1" applyAlignment="1">
      <alignment horizontal="left"/>
    </xf>
    <xf numFmtId="0" fontId="17" fillId="27" borderId="0" xfId="0" applyFont="1" applyFill="1" applyAlignment="1">
      <alignment/>
    </xf>
    <xf numFmtId="0" fontId="17" fillId="27" borderId="0" xfId="0" applyFont="1" applyFill="1" applyAlignment="1" quotePrefix="1">
      <alignment horizontal="center"/>
    </xf>
    <xf numFmtId="2" fontId="16" fillId="15" borderId="0" xfId="0" applyNumberFormat="1" applyFont="1" applyFill="1" applyAlignment="1">
      <alignment/>
    </xf>
    <xf numFmtId="0" fontId="17" fillId="27" borderId="0" xfId="0" applyFont="1" applyFill="1" applyAlignment="1" quotePrefix="1">
      <alignment horizontal="center"/>
    </xf>
    <xf numFmtId="2" fontId="17" fillId="15" borderId="0" xfId="0" applyNumberFormat="1" applyFont="1" applyFill="1" applyAlignment="1">
      <alignment/>
    </xf>
    <xf numFmtId="174" fontId="16" fillId="18" borderId="0" xfId="0" applyNumberFormat="1" applyFont="1" applyFill="1" applyAlignment="1">
      <alignment horizontal="center"/>
    </xf>
    <xf numFmtId="0" fontId="16" fillId="15" borderId="0" xfId="0" applyFont="1" applyFill="1" applyAlignment="1" quotePrefix="1">
      <alignment horizontal="center"/>
    </xf>
    <xf numFmtId="0" fontId="17" fillId="12" borderId="0" xfId="0" applyFont="1" applyFill="1" applyAlignment="1" quotePrefix="1">
      <alignment horizontal="center"/>
    </xf>
    <xf numFmtId="0" fontId="22" fillId="27" borderId="0" xfId="0" applyFont="1" applyFill="1" applyAlignment="1" quotePrefix="1">
      <alignment horizontal="center"/>
    </xf>
    <xf numFmtId="16" fontId="17" fillId="23" borderId="0" xfId="0" applyNumberFormat="1" applyFont="1" applyFill="1" applyAlignment="1" quotePrefix="1">
      <alignment horizontal="center"/>
    </xf>
    <xf numFmtId="0" fontId="16" fillId="17" borderId="0" xfId="0" applyFont="1" applyFill="1" applyAlignment="1" quotePrefix="1">
      <alignment horizontal="center"/>
    </xf>
    <xf numFmtId="174" fontId="17" fillId="15" borderId="0" xfId="0" applyNumberFormat="1" applyFont="1" applyFill="1" applyAlignment="1" quotePrefix="1">
      <alignment horizontal="center"/>
    </xf>
    <xf numFmtId="174" fontId="17" fillId="15" borderId="0" xfId="0" applyNumberFormat="1" applyFont="1" applyFill="1" applyAlignment="1">
      <alignment horizontal="center"/>
    </xf>
    <xf numFmtId="0" fontId="17" fillId="22" borderId="0" xfId="0" applyFont="1" applyFill="1" applyAlignment="1">
      <alignment/>
    </xf>
    <xf numFmtId="183" fontId="17" fillId="15" borderId="0" xfId="0" applyNumberFormat="1" applyFont="1" applyFill="1" applyAlignment="1">
      <alignment/>
    </xf>
    <xf numFmtId="0" fontId="16" fillId="20" borderId="0" xfId="0" applyFont="1" applyFill="1" applyAlignment="1">
      <alignment horizontal="center"/>
    </xf>
    <xf numFmtId="0" fontId="17" fillId="8" borderId="0" xfId="0" applyFont="1" applyFill="1" applyAlignment="1" quotePrefix="1">
      <alignment horizontal="center"/>
    </xf>
    <xf numFmtId="0" fontId="0" fillId="8" borderId="0" xfId="0" applyFill="1" applyAlignment="1">
      <alignment horizontal="center"/>
    </xf>
    <xf numFmtId="0" fontId="2" fillId="0" borderId="0" xfId="0" applyFont="1" applyAlignment="1">
      <alignment/>
    </xf>
    <xf numFmtId="0" fontId="1" fillId="15" borderId="0" xfId="0" applyFont="1" applyFill="1" applyAlignment="1">
      <alignment/>
    </xf>
    <xf numFmtId="0" fontId="1" fillId="15" borderId="0" xfId="0" applyFont="1" applyFill="1" applyAlignment="1" quotePrefix="1">
      <alignment/>
    </xf>
    <xf numFmtId="0" fontId="3" fillId="15" borderId="0" xfId="0" applyFont="1" applyFill="1" applyAlignment="1">
      <alignment/>
    </xf>
    <xf numFmtId="0" fontId="1" fillId="15" borderId="0" xfId="0" applyFont="1" applyFill="1" applyAlignment="1">
      <alignment horizontal="left"/>
    </xf>
    <xf numFmtId="0" fontId="1" fillId="15" borderId="0" xfId="0" applyFont="1" applyFill="1" applyAlignment="1" quotePrefix="1">
      <alignment/>
    </xf>
    <xf numFmtId="0" fontId="55" fillId="15" borderId="0" xfId="0" applyFont="1" applyFill="1" applyAlignment="1">
      <alignment/>
    </xf>
    <xf numFmtId="0" fontId="0" fillId="15" borderId="0" xfId="0" applyFont="1" applyFill="1" applyAlignment="1">
      <alignment/>
    </xf>
    <xf numFmtId="0" fontId="0" fillId="0" borderId="0" xfId="0" applyFont="1" applyAlignment="1">
      <alignment/>
    </xf>
    <xf numFmtId="0" fontId="16" fillId="18" borderId="0" xfId="0" applyFont="1" applyFill="1" applyAlignment="1">
      <alignment/>
    </xf>
    <xf numFmtId="0" fontId="16" fillId="17" borderId="0" xfId="0" applyFont="1" applyFill="1" applyAlignment="1">
      <alignment horizontal="center"/>
    </xf>
    <xf numFmtId="0" fontId="17" fillId="15" borderId="0" xfId="0" applyFont="1" applyFill="1" applyAlignment="1" quotePrefix="1">
      <alignment horizontal="center"/>
    </xf>
    <xf numFmtId="174" fontId="17" fillId="15" borderId="0" xfId="0" applyNumberFormat="1" applyFont="1" applyFill="1" applyAlignment="1">
      <alignment horizontal="center"/>
    </xf>
    <xf numFmtId="174" fontId="17" fillId="18" borderId="0" xfId="0" applyNumberFormat="1" applyFont="1" applyFill="1" applyAlignment="1" quotePrefix="1">
      <alignment horizontal="center"/>
    </xf>
    <xf numFmtId="0" fontId="17" fillId="18" borderId="0" xfId="0" applyFont="1" applyFill="1" applyAlignment="1" quotePrefix="1">
      <alignment horizontal="center"/>
    </xf>
    <xf numFmtId="0" fontId="16" fillId="26" borderId="0" xfId="0" applyFont="1" applyFill="1" applyAlignment="1">
      <alignment horizontal="left"/>
    </xf>
    <xf numFmtId="0" fontId="17" fillId="17" borderId="0" xfId="0" applyFont="1" applyFill="1" applyAlignment="1" quotePrefix="1">
      <alignment horizontal="center"/>
    </xf>
    <xf numFmtId="0" fontId="17" fillId="18" borderId="0" xfId="0" applyFont="1" applyFill="1" applyAlignment="1" quotePrefix="1">
      <alignment/>
    </xf>
    <xf numFmtId="0" fontId="17" fillId="26" borderId="0" xfId="0" applyFont="1" applyFill="1" applyAlignment="1">
      <alignment horizontal="center"/>
    </xf>
    <xf numFmtId="0" fontId="17" fillId="10" borderId="0" xfId="0" applyFont="1" applyFill="1" applyAlignment="1">
      <alignment/>
    </xf>
    <xf numFmtId="0" fontId="17" fillId="10" borderId="0" xfId="0" applyFont="1" applyFill="1" applyAlignment="1" quotePrefix="1">
      <alignment/>
    </xf>
    <xf numFmtId="0" fontId="17" fillId="10" borderId="0" xfId="0" applyFont="1" applyFill="1" applyAlignment="1">
      <alignment horizontal="center"/>
    </xf>
    <xf numFmtId="0" fontId="17" fillId="10" borderId="0" xfId="0" applyFont="1" applyFill="1" applyAlignment="1" quotePrefix="1">
      <alignment horizontal="center"/>
    </xf>
    <xf numFmtId="2" fontId="17" fillId="15" borderId="0" xfId="0" applyNumberFormat="1" applyFont="1" applyFill="1" applyAlignment="1" quotePrefix="1">
      <alignment horizontal="center"/>
    </xf>
    <xf numFmtId="183" fontId="16" fillId="8" borderId="0" xfId="0" applyNumberFormat="1" applyFont="1" applyFill="1" applyAlignment="1">
      <alignment horizontal="center"/>
    </xf>
    <xf numFmtId="183" fontId="17" fillId="8" borderId="0" xfId="0" applyNumberFormat="1" applyFont="1" applyFill="1" applyAlignment="1">
      <alignment horizontal="center"/>
    </xf>
    <xf numFmtId="0" fontId="0" fillId="8" borderId="0" xfId="0" applyFont="1" applyFill="1" applyAlignment="1">
      <alignment/>
    </xf>
    <xf numFmtId="0" fontId="16" fillId="27" borderId="0" xfId="0" applyFont="1" applyFill="1" applyAlignment="1">
      <alignment horizontal="center"/>
    </xf>
    <xf numFmtId="0" fontId="16" fillId="27" borderId="0" xfId="0" applyFont="1" applyFill="1" applyAlignment="1">
      <alignment/>
    </xf>
    <xf numFmtId="0" fontId="17" fillId="27" borderId="0" xfId="0" applyFont="1" applyFill="1" applyAlignment="1" quotePrefix="1">
      <alignment horizontal="right"/>
    </xf>
    <xf numFmtId="0" fontId="17" fillId="27" borderId="0" xfId="0" applyFont="1" applyFill="1" applyAlignment="1">
      <alignment horizontal="right"/>
    </xf>
    <xf numFmtId="0" fontId="16" fillId="0" borderId="0" xfId="0" applyFont="1" applyFill="1" applyAlignment="1">
      <alignment horizontal="left"/>
    </xf>
    <xf numFmtId="0" fontId="0" fillId="12" borderId="0" xfId="0" applyFill="1" applyAlignment="1">
      <alignment horizontal="center"/>
    </xf>
    <xf numFmtId="0" fontId="0" fillId="13" borderId="0" xfId="0" applyFill="1" applyAlignment="1">
      <alignment horizontal="center"/>
    </xf>
    <xf numFmtId="0" fontId="21" fillId="13" borderId="0" xfId="0" applyFont="1" applyFill="1" applyAlignment="1">
      <alignment horizontal="right"/>
    </xf>
    <xf numFmtId="0" fontId="21" fillId="13" borderId="0" xfId="0" applyFont="1" applyFill="1" applyAlignment="1">
      <alignment/>
    </xf>
    <xf numFmtId="0" fontId="21" fillId="13" borderId="0" xfId="0" applyFont="1" applyFill="1" applyAlignment="1" quotePrefix="1">
      <alignment/>
    </xf>
    <xf numFmtId="0" fontId="58" fillId="13" borderId="0" xfId="0" applyFont="1" applyFill="1" applyAlignment="1">
      <alignment/>
    </xf>
    <xf numFmtId="0" fontId="0" fillId="13" borderId="0" xfId="0" applyFill="1" applyAlignment="1">
      <alignment horizontal="left"/>
    </xf>
    <xf numFmtId="0" fontId="0" fillId="20" borderId="0" xfId="0" applyFill="1" applyAlignment="1">
      <alignment/>
    </xf>
    <xf numFmtId="0" fontId="0" fillId="20" borderId="0" xfId="0" applyFill="1" applyAlignment="1">
      <alignment horizontal="center"/>
    </xf>
    <xf numFmtId="0" fontId="0" fillId="20" borderId="0" xfId="0" applyFill="1" applyAlignment="1">
      <alignment horizontal="left"/>
    </xf>
    <xf numFmtId="0" fontId="0" fillId="20" borderId="0" xfId="0" applyFill="1" applyAlignment="1" quotePrefix="1">
      <alignment horizontal="left"/>
    </xf>
    <xf numFmtId="0" fontId="21" fillId="13" borderId="0" xfId="0" applyFont="1" applyFill="1" applyAlignment="1">
      <alignment/>
    </xf>
    <xf numFmtId="0" fontId="22" fillId="12" borderId="0" xfId="0" applyFont="1" applyFill="1" applyAlignment="1">
      <alignment/>
    </xf>
    <xf numFmtId="0" fontId="22" fillId="12" borderId="0" xfId="0" applyFont="1" applyFill="1" applyAlignment="1">
      <alignment/>
    </xf>
    <xf numFmtId="0" fontId="51" fillId="12" borderId="0" xfId="0" applyFont="1" applyFill="1" applyAlignment="1">
      <alignment/>
    </xf>
    <xf numFmtId="0" fontId="57" fillId="12" borderId="0" xfId="0" applyFont="1" applyFill="1" applyAlignment="1">
      <alignment horizontal="center"/>
    </xf>
    <xf numFmtId="0" fontId="17" fillId="12" borderId="0" xfId="0" applyFont="1" applyFill="1" applyAlignment="1">
      <alignment/>
    </xf>
    <xf numFmtId="0" fontId="17" fillId="12" borderId="0" xfId="0" applyFont="1" applyFill="1" applyAlignment="1">
      <alignment horizontal="left"/>
    </xf>
    <xf numFmtId="0" fontId="21" fillId="12" borderId="0" xfId="0" applyFont="1" applyFill="1" applyAlignment="1">
      <alignment/>
    </xf>
    <xf numFmtId="0" fontId="17" fillId="12" borderId="0" xfId="0" applyFont="1" applyFill="1" applyAlignment="1" quotePrefix="1">
      <alignment/>
    </xf>
    <xf numFmtId="0" fontId="62" fillId="0" borderId="0" xfId="0" applyFont="1" applyAlignment="1">
      <alignment/>
    </xf>
    <xf numFmtId="0" fontId="16" fillId="18" borderId="0" xfId="0" applyFont="1" applyFill="1" applyAlignment="1" quotePrefix="1">
      <alignment horizontal="left"/>
    </xf>
    <xf numFmtId="0" fontId="16" fillId="23" borderId="0" xfId="0" applyFont="1" applyFill="1" applyAlignment="1" quotePrefix="1">
      <alignment horizontal="left"/>
    </xf>
    <xf numFmtId="0" fontId="17" fillId="23" borderId="0" xfId="0" applyFont="1" applyFill="1" applyAlignment="1">
      <alignment horizontal="right"/>
    </xf>
    <xf numFmtId="0" fontId="42" fillId="23" borderId="0" xfId="0" applyFont="1" applyFill="1" applyAlignment="1">
      <alignment horizontal="right"/>
    </xf>
    <xf numFmtId="0" fontId="27" fillId="23" borderId="0" xfId="0" applyFont="1" applyFill="1" applyAlignment="1">
      <alignment horizontal="center"/>
    </xf>
    <xf numFmtId="0" fontId="27" fillId="23" borderId="0" xfId="0" applyFont="1" applyFill="1" applyAlignment="1" quotePrefix="1">
      <alignment horizontal="center"/>
    </xf>
    <xf numFmtId="0" fontId="17" fillId="23" borderId="0" xfId="0" applyFont="1" applyFill="1" applyAlignment="1" quotePrefix="1">
      <alignment/>
    </xf>
    <xf numFmtId="183" fontId="17" fillId="16" borderId="0" xfId="0" applyNumberFormat="1" applyFont="1" applyFill="1" applyAlignment="1">
      <alignment horizontal="left"/>
    </xf>
    <xf numFmtId="0" fontId="17" fillId="22" borderId="0" xfId="0" applyFont="1" applyFill="1" applyAlignment="1" quotePrefix="1">
      <alignment horizontal="center"/>
    </xf>
    <xf numFmtId="0" fontId="17" fillId="8" borderId="0" xfId="0" applyFont="1" applyFill="1" applyAlignment="1">
      <alignment/>
    </xf>
    <xf numFmtId="0" fontId="0" fillId="8" borderId="0" xfId="0" applyFont="1" applyFill="1" applyAlignment="1">
      <alignment horizontal="center"/>
    </xf>
    <xf numFmtId="0" fontId="17" fillId="22" borderId="0" xfId="0" applyFont="1" applyFill="1" applyAlignment="1">
      <alignment/>
    </xf>
    <xf numFmtId="0" fontId="1" fillId="15" borderId="0" xfId="0" applyFont="1" applyFill="1" applyAlignment="1">
      <alignment horizontal="left"/>
    </xf>
    <xf numFmtId="0" fontId="1" fillId="15" borderId="0" xfId="0" applyFont="1" applyFill="1" applyAlignment="1" quotePrefix="1">
      <alignment/>
    </xf>
    <xf numFmtId="0" fontId="17" fillId="10" borderId="0" xfId="0" applyFont="1" applyFill="1" applyAlignment="1" quotePrefix="1">
      <alignment horizontal="center"/>
    </xf>
    <xf numFmtId="2" fontId="17" fillId="18" borderId="0" xfId="0" applyNumberFormat="1" applyFont="1" applyFill="1" applyAlignment="1" quotePrefix="1">
      <alignment horizontal="center"/>
    </xf>
    <xf numFmtId="2" fontId="17" fillId="17" borderId="0" xfId="0" applyNumberFormat="1" applyFont="1" applyFill="1" applyAlignment="1">
      <alignment horizontal="center"/>
    </xf>
    <xf numFmtId="0" fontId="17" fillId="3" borderId="0" xfId="0" applyFont="1" applyFill="1" applyAlignment="1" quotePrefix="1">
      <alignment horizontal="right"/>
    </xf>
    <xf numFmtId="183" fontId="0" fillId="16" borderId="0" xfId="0" applyNumberFormat="1" applyFont="1" applyFill="1" applyAlignment="1">
      <alignment horizontal="center"/>
    </xf>
    <xf numFmtId="0" fontId="17" fillId="18" borderId="0" xfId="0" applyFont="1" applyFill="1" applyAlignment="1" quotePrefix="1">
      <alignment horizontal="left"/>
    </xf>
    <xf numFmtId="0" fontId="27" fillId="18" borderId="0" xfId="0" applyFont="1" applyFill="1" applyAlignment="1">
      <alignment horizontal="center"/>
    </xf>
    <xf numFmtId="0" fontId="63" fillId="18" borderId="0" xfId="0" applyFont="1" applyFill="1" applyAlignment="1">
      <alignment horizontal="center"/>
    </xf>
    <xf numFmtId="0" fontId="17" fillId="18" borderId="0" xfId="0" applyFont="1" applyFill="1" applyAlignment="1">
      <alignment horizontal="left"/>
    </xf>
    <xf numFmtId="0" fontId="17" fillId="18" borderId="0" xfId="0" applyFont="1" applyFill="1" applyAlignment="1">
      <alignment horizontal="left"/>
    </xf>
    <xf numFmtId="1" fontId="17" fillId="15" borderId="0" xfId="0" applyNumberFormat="1" applyFont="1" applyFill="1" applyAlignment="1">
      <alignment horizontal="center"/>
    </xf>
    <xf numFmtId="0" fontId="17" fillId="27" borderId="0" xfId="0" applyFont="1" applyFill="1" applyAlignment="1">
      <alignment horizontal="center"/>
    </xf>
    <xf numFmtId="2" fontId="16" fillId="15" borderId="0" xfId="0" applyNumberFormat="1" applyFont="1" applyFill="1" applyAlignment="1">
      <alignment horizontal="right"/>
    </xf>
    <xf numFmtId="0" fontId="11" fillId="0" borderId="0" xfId="0" applyFont="1" applyAlignment="1">
      <alignment/>
    </xf>
    <xf numFmtId="0" fontId="65" fillId="28" borderId="0" xfId="0" applyFont="1" applyFill="1" applyAlignment="1">
      <alignment/>
    </xf>
    <xf numFmtId="0" fontId="66" fillId="23" borderId="0" xfId="0" applyFont="1" applyFill="1" applyAlignment="1" quotePrefix="1">
      <alignment horizontal="center"/>
    </xf>
    <xf numFmtId="0" fontId="27" fillId="17" borderId="0" xfId="0" applyFont="1" applyFill="1" applyAlignment="1">
      <alignment horizontal="center"/>
    </xf>
    <xf numFmtId="0" fontId="17" fillId="8" borderId="0" xfId="0" applyFont="1" applyFill="1" applyAlignment="1">
      <alignment/>
    </xf>
    <xf numFmtId="0" fontId="17" fillId="0" borderId="0" xfId="0" applyFont="1" applyAlignment="1">
      <alignment horizontal="right"/>
    </xf>
    <xf numFmtId="174" fontId="27" fillId="15" borderId="0" xfId="0" applyNumberFormat="1" applyFont="1" applyFill="1" applyAlignment="1">
      <alignment horizontal="center"/>
    </xf>
    <xf numFmtId="174" fontId="42" fillId="15" borderId="0" xfId="0" applyNumberFormat="1" applyFont="1" applyFill="1" applyAlignment="1">
      <alignment horizontal="center"/>
    </xf>
    <xf numFmtId="174" fontId="16" fillId="15" borderId="0" xfId="0" applyNumberFormat="1" applyFont="1" applyFill="1" applyAlignment="1">
      <alignment/>
    </xf>
    <xf numFmtId="174" fontId="0" fillId="15" borderId="0" xfId="0" applyNumberFormat="1" applyFill="1" applyAlignment="1">
      <alignment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3"/>
  <sheetViews>
    <sheetView workbookViewId="0" topLeftCell="A1">
      <selection activeCell="B3" sqref="B3"/>
    </sheetView>
  </sheetViews>
  <sheetFormatPr defaultColWidth="9.140625" defaultRowHeight="12.75"/>
  <cols>
    <col min="1" max="1" width="1.57421875" style="0" customWidth="1"/>
    <col min="2" max="2" width="5.421875" style="0" customWidth="1"/>
    <col min="3" max="3" width="6.00390625" style="0" customWidth="1"/>
    <col min="4" max="4" width="6.8515625" style="0" customWidth="1"/>
    <col min="5" max="5" width="7.7109375" style="0" customWidth="1"/>
    <col min="6" max="6" width="4.140625" style="0" customWidth="1"/>
    <col min="7" max="7" width="6.00390625" style="0" customWidth="1"/>
    <col min="8" max="8" width="5.57421875" style="0" customWidth="1"/>
    <col min="9" max="9" width="4.7109375" style="0" customWidth="1"/>
    <col min="10" max="10" width="7.140625" style="0" customWidth="1"/>
    <col min="12" max="12" width="9.421875" style="0" customWidth="1"/>
    <col min="13" max="13" width="8.140625" style="0" customWidth="1"/>
    <col min="14" max="14" width="7.8515625" style="0" customWidth="1"/>
    <col min="15" max="15" width="6.421875" style="0" customWidth="1"/>
    <col min="16" max="16" width="3.140625" style="0" customWidth="1"/>
    <col min="17" max="17" width="5.8515625" style="0" customWidth="1"/>
    <col min="18" max="18" width="3.140625" style="0" customWidth="1"/>
    <col min="19" max="19" width="8.00390625" style="0" customWidth="1"/>
    <col min="20" max="20" width="4.7109375" style="0" customWidth="1"/>
    <col min="21" max="21" width="5.140625" style="0" customWidth="1"/>
    <col min="22" max="22" width="3.8515625" style="0" customWidth="1"/>
    <col min="23" max="23" width="7.8515625" style="0" customWidth="1"/>
    <col min="24" max="24" width="3.7109375" style="0" customWidth="1"/>
  </cols>
  <sheetData>
    <row r="1" spans="3:19" ht="12.75">
      <c r="C1" s="55" t="s">
        <v>40</v>
      </c>
      <c r="D1" s="54"/>
      <c r="E1" s="54"/>
      <c r="F1" s="55" t="s">
        <v>39</v>
      </c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3" spans="4:24" ht="15.75">
      <c r="D3" s="56" t="s">
        <v>28</v>
      </c>
      <c r="E3" s="56"/>
      <c r="F3" s="56"/>
      <c r="G3" s="56">
        <f>IF(Iu=1,Rest+Ri,"INF.")</f>
        <v>101.09901801063896</v>
      </c>
      <c r="H3" s="56" t="s">
        <v>10</v>
      </c>
      <c r="K3" s="47" t="s">
        <v>26</v>
      </c>
      <c r="L3" s="47"/>
      <c r="M3" s="47"/>
      <c r="N3" s="47"/>
      <c r="O3" s="47">
        <f>IF(Iu=1,Rv*(Req+Ratot)/(Rv+Req+Ratot),"INF.")</f>
        <v>99.09901801063896</v>
      </c>
      <c r="P3" s="49" t="s">
        <v>10</v>
      </c>
      <c r="R3" s="42" t="s">
        <v>22</v>
      </c>
      <c r="S3" s="43" t="s">
        <v>21</v>
      </c>
      <c r="T3" s="44"/>
      <c r="U3" s="44"/>
      <c r="V3" s="44"/>
      <c r="W3" s="45">
        <f>IF(Iu=1,IF(Id=1,Ru*Rd/(Ru+Rd),Ru),"INF.")</f>
        <v>100</v>
      </c>
      <c r="X3" s="42" t="s">
        <v>10</v>
      </c>
    </row>
    <row r="4" spans="3:12" ht="14.25">
      <c r="C4" s="58" t="s">
        <v>31</v>
      </c>
      <c r="D4" s="58"/>
      <c r="E4" s="58"/>
      <c r="F4" s="58"/>
      <c r="G4" s="67">
        <f>IF(Iu=1,E/Rtot,"0")</f>
        <v>0.11869551491328238</v>
      </c>
      <c r="H4" s="58" t="s">
        <v>12</v>
      </c>
      <c r="I4" s="59"/>
      <c r="K4" s="7"/>
      <c r="L4" s="7"/>
    </row>
    <row r="5" spans="3:15" ht="15.75">
      <c r="C5" s="4" t="s">
        <v>32</v>
      </c>
      <c r="D5" s="61" t="s">
        <v>33</v>
      </c>
      <c r="E5" s="4"/>
      <c r="F5" s="4"/>
      <c r="G5" s="4"/>
      <c r="H5" s="4"/>
      <c r="I5" s="4"/>
      <c r="K5" s="8" t="s">
        <v>24</v>
      </c>
      <c r="L5" s="8" t="s">
        <v>25</v>
      </c>
      <c r="M5" s="8"/>
      <c r="N5" s="8">
        <f>Rsh*Ra/(Rsh+Ra)</f>
        <v>0.09090909090909091</v>
      </c>
      <c r="O5" s="48" t="s">
        <v>10</v>
      </c>
    </row>
    <row r="6" spans="3:10" ht="14.25">
      <c r="C6" s="58" t="s">
        <v>29</v>
      </c>
      <c r="D6" s="60" t="s">
        <v>30</v>
      </c>
      <c r="E6" s="58" t="s">
        <v>23</v>
      </c>
      <c r="F6" s="58"/>
      <c r="G6" s="58">
        <f>IF(Iu=1,E/(Ri+Req),0)</f>
        <v>0.11764705882352941</v>
      </c>
      <c r="H6" s="58" t="s">
        <v>12</v>
      </c>
      <c r="I6" s="59"/>
      <c r="J6" s="10"/>
    </row>
    <row r="7" spans="3:17" ht="15.75">
      <c r="C7" s="57" t="s">
        <v>35</v>
      </c>
      <c r="D7" s="57"/>
      <c r="E7" s="57"/>
      <c r="F7" s="57"/>
      <c r="G7" s="57"/>
      <c r="H7" s="62">
        <f>IF(Iu=1,E*Req/(Ri+Req),E)</f>
        <v>11.764705882352942</v>
      </c>
      <c r="I7" s="57" t="s">
        <v>6</v>
      </c>
      <c r="K7" s="13"/>
      <c r="L7" s="12" t="s">
        <v>1</v>
      </c>
      <c r="O7" s="4"/>
      <c r="Q7" s="7"/>
    </row>
    <row r="8" spans="3:21" ht="16.5">
      <c r="C8" s="4" t="s">
        <v>34</v>
      </c>
      <c r="D8" s="4"/>
      <c r="E8" s="4"/>
      <c r="F8" s="4"/>
      <c r="G8" s="4"/>
      <c r="H8" s="4"/>
      <c r="I8" s="4"/>
      <c r="K8" s="15" t="s">
        <v>15</v>
      </c>
      <c r="L8" s="29">
        <v>0.1</v>
      </c>
      <c r="M8" s="50" t="s">
        <v>10</v>
      </c>
      <c r="N8" s="32"/>
      <c r="Q8" s="9" t="s">
        <v>347</v>
      </c>
      <c r="U8" s="9" t="s">
        <v>2</v>
      </c>
    </row>
    <row r="9" spans="10:14" ht="12.75">
      <c r="J9" s="39" t="s">
        <v>41</v>
      </c>
      <c r="K9" s="8"/>
      <c r="L9" s="8"/>
      <c r="M9" s="8"/>
      <c r="N9" s="1"/>
    </row>
    <row r="10" spans="3:22" ht="12.75">
      <c r="C10" s="1"/>
      <c r="D10" s="1"/>
      <c r="E10" s="1"/>
      <c r="F10" s="1"/>
      <c r="G10" s="25" t="s">
        <v>12</v>
      </c>
      <c r="H10" s="1"/>
      <c r="I10" s="1"/>
      <c r="J10" s="25" t="s">
        <v>7</v>
      </c>
      <c r="K10" s="41" t="s">
        <v>7</v>
      </c>
      <c r="L10" s="36" t="s">
        <v>20</v>
      </c>
      <c r="M10" s="8"/>
      <c r="N10" s="1"/>
      <c r="O10" s="1"/>
      <c r="P10" s="39" t="s">
        <v>18</v>
      </c>
      <c r="Q10" s="39"/>
      <c r="R10" s="39"/>
      <c r="S10" s="1"/>
      <c r="T10" s="39" t="s">
        <v>19</v>
      </c>
      <c r="U10" s="1"/>
      <c r="V10" s="1"/>
    </row>
    <row r="11" spans="2:22" ht="15.75">
      <c r="B11" s="38" t="s">
        <v>3</v>
      </c>
      <c r="C11" s="1"/>
      <c r="G11" s="2"/>
      <c r="K11" s="53" t="s">
        <v>27</v>
      </c>
      <c r="L11" s="30">
        <v>1</v>
      </c>
      <c r="M11" s="51" t="s">
        <v>10</v>
      </c>
      <c r="N11" s="32"/>
      <c r="Q11" s="16"/>
      <c r="R11" s="16"/>
      <c r="U11" s="6"/>
      <c r="V11" s="6"/>
    </row>
    <row r="12" spans="3:22" ht="12.75">
      <c r="C12" s="5"/>
      <c r="F12" s="21"/>
      <c r="G12" s="21"/>
      <c r="H12" s="2"/>
      <c r="K12" s="9" t="s">
        <v>7</v>
      </c>
      <c r="L12" s="28" t="s">
        <v>7</v>
      </c>
      <c r="P12" s="16"/>
      <c r="Q12" s="16"/>
      <c r="T12" s="6"/>
      <c r="U12" s="6"/>
      <c r="V12" s="4"/>
    </row>
    <row r="13" spans="2:22" ht="12.75">
      <c r="B13" s="73" t="s">
        <v>9</v>
      </c>
      <c r="C13" s="70">
        <v>2</v>
      </c>
      <c r="D13" s="27" t="s">
        <v>10</v>
      </c>
      <c r="F13" s="2"/>
      <c r="G13" s="22"/>
      <c r="H13" s="21"/>
      <c r="K13" t="s">
        <v>7</v>
      </c>
      <c r="P13" s="4"/>
      <c r="Q13" s="16"/>
      <c r="R13" s="16"/>
      <c r="U13" s="6"/>
      <c r="V13" s="6"/>
    </row>
    <row r="14" spans="2:21" ht="14.25">
      <c r="B14" s="27" t="s">
        <v>348</v>
      </c>
      <c r="C14" s="71"/>
      <c r="D14" s="71"/>
      <c r="F14" s="23" t="s">
        <v>16</v>
      </c>
      <c r="G14" s="24">
        <v>10000</v>
      </c>
      <c r="H14" s="52" t="s">
        <v>10</v>
      </c>
      <c r="P14" s="16"/>
      <c r="Q14" s="16"/>
      <c r="T14" s="6"/>
      <c r="U14" s="6"/>
    </row>
    <row r="15" spans="2:22" ht="14.25">
      <c r="B15" s="72" t="s">
        <v>349</v>
      </c>
      <c r="C15" s="72"/>
      <c r="D15" s="26" t="s">
        <v>7</v>
      </c>
      <c r="F15" s="2"/>
      <c r="G15" s="21"/>
      <c r="H15" s="21"/>
      <c r="J15" s="75" t="s">
        <v>44</v>
      </c>
      <c r="K15" s="75"/>
      <c r="L15" s="76"/>
      <c r="M15" s="76"/>
      <c r="N15" s="40">
        <f>IF(Iu=1,I*Rv/(Rv+Rest),0)</f>
        <v>0.1175307962637082</v>
      </c>
      <c r="O15" s="75" t="s">
        <v>12</v>
      </c>
      <c r="Q15" s="16"/>
      <c r="R15" s="16"/>
      <c r="U15" s="6"/>
      <c r="V15" s="6"/>
    </row>
    <row r="16" spans="2:21" ht="12.75">
      <c r="B16" s="5"/>
      <c r="C16" s="72" t="s">
        <v>43</v>
      </c>
      <c r="D16" s="71"/>
      <c r="F16" s="21"/>
      <c r="G16" s="21"/>
      <c r="H16" s="2"/>
      <c r="P16" s="16"/>
      <c r="Q16" s="16"/>
      <c r="R16" s="4"/>
      <c r="T16" s="6"/>
      <c r="U16" s="6"/>
    </row>
    <row r="17" spans="2:22" ht="14.25">
      <c r="B17" s="71"/>
      <c r="C17" s="71"/>
      <c r="D17" s="5"/>
      <c r="F17" s="2"/>
      <c r="G17" s="21"/>
      <c r="H17" s="21"/>
      <c r="L17" s="77" t="s">
        <v>45</v>
      </c>
      <c r="M17" s="77"/>
      <c r="N17" s="66">
        <f>IF(Iu=1,ABS(N15-G6)/G6,"0%")</f>
        <v>0.0009882317584802777</v>
      </c>
      <c r="Q17" s="16"/>
      <c r="R17" s="16"/>
      <c r="U17" s="6"/>
      <c r="V17" s="6"/>
    </row>
    <row r="18" spans="2:21" ht="12.75">
      <c r="B18" s="5"/>
      <c r="C18" s="71"/>
      <c r="D18" s="71"/>
      <c r="F18" s="21"/>
      <c r="G18" s="21"/>
      <c r="H18" s="2"/>
      <c r="K18" s="11"/>
      <c r="P18" s="16"/>
      <c r="Q18" s="16"/>
      <c r="T18" s="6"/>
      <c r="U18" s="6"/>
    </row>
    <row r="19" spans="2:22" ht="12.75">
      <c r="B19" s="5"/>
      <c r="C19" s="33"/>
      <c r="D19" s="5"/>
      <c r="F19" s="2"/>
      <c r="G19" s="21"/>
      <c r="H19" s="21"/>
      <c r="Q19" s="16"/>
      <c r="R19" s="16"/>
      <c r="T19" s="4"/>
      <c r="U19" s="6"/>
      <c r="V19" s="6"/>
    </row>
    <row r="20" spans="2:21" ht="12.75">
      <c r="B20" s="5"/>
      <c r="C20" s="34" t="s">
        <v>5</v>
      </c>
      <c r="D20" s="5"/>
      <c r="F20" s="2"/>
      <c r="G20" s="3"/>
      <c r="H20" s="2"/>
      <c r="P20" s="16"/>
      <c r="Q20" s="16"/>
      <c r="T20" s="6"/>
      <c r="U20" s="6"/>
    </row>
    <row r="21" spans="2:22" ht="12.75">
      <c r="B21" s="26" t="s">
        <v>8</v>
      </c>
      <c r="C21" s="35">
        <v>12</v>
      </c>
      <c r="D21" s="27" t="s">
        <v>6</v>
      </c>
      <c r="F21" s="2"/>
      <c r="G21" s="3"/>
      <c r="H21" s="2"/>
      <c r="Q21" s="16"/>
      <c r="R21" s="16"/>
      <c r="U21" s="6"/>
      <c r="V21" s="6"/>
    </row>
    <row r="22" spans="2:21" ht="12.75">
      <c r="B22" s="5"/>
      <c r="C22" s="33"/>
      <c r="D22" s="5"/>
      <c r="F22" s="2"/>
      <c r="G22" s="3"/>
      <c r="H22" s="2"/>
      <c r="L22" s="4"/>
      <c r="P22" s="16"/>
      <c r="Q22" s="16"/>
      <c r="R22" s="4"/>
      <c r="T22" s="6"/>
      <c r="U22" s="6"/>
    </row>
    <row r="23" spans="2:22" ht="14.25">
      <c r="B23" s="5"/>
      <c r="C23" s="33"/>
      <c r="D23" s="5"/>
      <c r="F23" s="2"/>
      <c r="G23" s="3"/>
      <c r="H23" s="2"/>
      <c r="I23" s="63" t="s">
        <v>36</v>
      </c>
      <c r="J23" s="64" t="s">
        <v>37</v>
      </c>
      <c r="K23" s="64" t="s">
        <v>38</v>
      </c>
      <c r="L23" s="64"/>
      <c r="M23" s="64"/>
      <c r="N23" s="52">
        <f>IF(Iu=1,I*Rest*Rv/(Rv+Rest),E*Rv/(Ri+Rv))</f>
        <v>11.647186495741956</v>
      </c>
      <c r="O23" s="64" t="s">
        <v>6</v>
      </c>
      <c r="P23" s="4"/>
      <c r="Q23" s="16"/>
      <c r="R23" s="16"/>
      <c r="U23" s="6"/>
      <c r="V23" s="6"/>
    </row>
    <row r="24" spans="2:21" ht="12.75">
      <c r="B24" s="201" t="s">
        <v>351</v>
      </c>
      <c r="C24" s="201"/>
      <c r="D24" s="201"/>
      <c r="F24" s="52" t="s">
        <v>352</v>
      </c>
      <c r="G24" s="68"/>
      <c r="H24" s="2"/>
      <c r="J24" s="2"/>
      <c r="K24" s="52" t="str">
        <f>IF(Iu=1,"A CIRCUITO CHIUSO","A CIRCUITO APERTO")</f>
        <v>A CIRCUITO CHIUSO</v>
      </c>
      <c r="L24" s="52"/>
      <c r="M24" s="2"/>
      <c r="P24" s="16"/>
      <c r="Q24" s="16"/>
      <c r="T24" s="6"/>
      <c r="U24" s="6"/>
    </row>
    <row r="25" spans="2:22" ht="14.25">
      <c r="B25" s="27" t="s">
        <v>350</v>
      </c>
      <c r="C25" s="27"/>
      <c r="D25" s="27"/>
      <c r="F25" s="52" t="s">
        <v>353</v>
      </c>
      <c r="G25" s="2"/>
      <c r="H25" s="2"/>
      <c r="L25" s="31" t="s">
        <v>42</v>
      </c>
      <c r="M25" s="31"/>
      <c r="N25" s="65">
        <f>IF(Iu=1,ABS(N23-H7)/H7,(E-N23)/E)</f>
        <v>0.009989147861933851</v>
      </c>
      <c r="Q25" s="16"/>
      <c r="R25" s="16"/>
      <c r="U25" s="6"/>
      <c r="V25" s="6"/>
    </row>
    <row r="26" spans="2:22" ht="12.75">
      <c r="B26" s="74" t="s">
        <v>4</v>
      </c>
      <c r="C26" s="1"/>
      <c r="G26" s="2"/>
      <c r="P26" s="17" t="s">
        <v>11</v>
      </c>
      <c r="Q26" s="18">
        <v>100</v>
      </c>
      <c r="R26" s="11" t="s">
        <v>10</v>
      </c>
      <c r="T26" s="20" t="s">
        <v>14</v>
      </c>
      <c r="U26" s="19">
        <v>160</v>
      </c>
      <c r="V26" s="11" t="s">
        <v>10</v>
      </c>
    </row>
    <row r="27" spans="2:22" ht="12.75">
      <c r="B27" s="14" t="s">
        <v>7</v>
      </c>
      <c r="C27" s="1"/>
      <c r="D27" s="1"/>
      <c r="E27" s="1"/>
      <c r="F27" s="1"/>
      <c r="G27" s="25" t="s">
        <v>13</v>
      </c>
      <c r="H27" s="1"/>
      <c r="I27" s="1"/>
      <c r="J27" s="1"/>
      <c r="K27" s="37">
        <v>1</v>
      </c>
      <c r="L27" s="1" t="s">
        <v>7</v>
      </c>
      <c r="M27" s="1"/>
      <c r="N27" s="1"/>
      <c r="O27" s="1"/>
      <c r="P27" s="1"/>
      <c r="Q27" s="1"/>
      <c r="R27" s="1"/>
      <c r="S27" s="37">
        <v>0</v>
      </c>
      <c r="T27" s="1"/>
      <c r="U27" s="25"/>
      <c r="V27" s="1"/>
    </row>
    <row r="28" spans="11:19" ht="12.75">
      <c r="K28" s="9" t="s">
        <v>354</v>
      </c>
      <c r="S28" s="9" t="s">
        <v>354</v>
      </c>
    </row>
    <row r="29" spans="9:21" ht="12.75">
      <c r="I29" s="11"/>
      <c r="J29" s="11"/>
      <c r="K29" s="9" t="s">
        <v>355</v>
      </c>
      <c r="L29" s="46" t="s">
        <v>17</v>
      </c>
      <c r="M29" s="11"/>
      <c r="N29" s="11"/>
      <c r="O29" s="11"/>
      <c r="P29" s="11"/>
      <c r="Q29" s="9" t="s">
        <v>7</v>
      </c>
      <c r="R29" s="11"/>
      <c r="S29" s="9" t="s">
        <v>356</v>
      </c>
      <c r="T29" s="9" t="s">
        <v>17</v>
      </c>
      <c r="U29" s="11"/>
    </row>
    <row r="32" spans="2:12" ht="12.75">
      <c r="B32" s="403" t="s">
        <v>956</v>
      </c>
      <c r="C32" s="403"/>
      <c r="D32" s="403"/>
      <c r="E32" s="403"/>
      <c r="F32" s="403"/>
      <c r="G32" s="403"/>
      <c r="H32" s="403" t="s">
        <v>957</v>
      </c>
      <c r="I32" s="403"/>
      <c r="J32" s="403"/>
      <c r="K32" s="403"/>
      <c r="L32" s="403"/>
    </row>
    <row r="33" ht="15.75">
      <c r="L33" s="69" t="s">
        <v>7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O36"/>
  <sheetViews>
    <sheetView workbookViewId="0" topLeftCell="A1">
      <selection activeCell="R1" sqref="R1"/>
    </sheetView>
  </sheetViews>
  <sheetFormatPr defaultColWidth="9.140625" defaultRowHeight="12.75"/>
  <cols>
    <col min="1" max="1" width="1.1484375" style="0" customWidth="1"/>
    <col min="2" max="2" width="3.57421875" style="0" customWidth="1"/>
    <col min="3" max="3" width="3.28125" style="0" customWidth="1"/>
    <col min="4" max="4" width="3.00390625" style="0" customWidth="1"/>
    <col min="5" max="5" width="4.140625" style="0" customWidth="1"/>
    <col min="6" max="6" width="3.57421875" style="0" customWidth="1"/>
    <col min="7" max="7" width="3.421875" style="0" customWidth="1"/>
    <col min="8" max="9" width="3.140625" style="0" customWidth="1"/>
    <col min="10" max="10" width="3.28125" style="0" customWidth="1"/>
    <col min="11" max="11" width="3.421875" style="0" customWidth="1"/>
    <col min="12" max="12" width="3.57421875" style="0" customWidth="1"/>
    <col min="13" max="13" width="3.00390625" style="0" customWidth="1"/>
    <col min="14" max="15" width="3.421875" style="0" customWidth="1"/>
    <col min="16" max="17" width="3.57421875" style="0" customWidth="1"/>
    <col min="18" max="18" width="3.7109375" style="0" customWidth="1"/>
    <col min="19" max="19" width="3.57421875" style="0" customWidth="1"/>
    <col min="20" max="20" width="3.421875" style="0" customWidth="1"/>
    <col min="21" max="23" width="3.28125" style="0" customWidth="1"/>
    <col min="24" max="24" width="3.7109375" style="0" customWidth="1"/>
    <col min="25" max="25" width="3.57421875" style="0" customWidth="1"/>
    <col min="26" max="27" width="3.00390625" style="0" customWidth="1"/>
    <col min="28" max="28" width="3.28125" style="0" customWidth="1"/>
    <col min="29" max="29" width="4.00390625" style="0" customWidth="1"/>
    <col min="30" max="32" width="3.7109375" style="0" customWidth="1"/>
    <col min="33" max="33" width="3.421875" style="0" customWidth="1"/>
    <col min="34" max="34" width="3.28125" style="0" customWidth="1"/>
    <col min="35" max="35" width="3.57421875" style="0" customWidth="1"/>
    <col min="36" max="36" width="3.00390625" style="0" customWidth="1"/>
    <col min="37" max="37" width="3.421875" style="0" customWidth="1"/>
    <col min="38" max="38" width="3.7109375" style="0" customWidth="1"/>
    <col min="39" max="39" width="3.421875" style="0" customWidth="1"/>
    <col min="40" max="40" width="3.57421875" style="0" customWidth="1"/>
    <col min="41" max="41" width="4.421875" style="0" customWidth="1"/>
  </cols>
  <sheetData>
    <row r="2" spans="9:41" ht="12.75">
      <c r="I2" s="27" t="s">
        <v>46</v>
      </c>
      <c r="J2" s="27"/>
      <c r="K2" s="27"/>
      <c r="L2" s="27"/>
      <c r="M2" s="27"/>
      <c r="N2" s="27"/>
      <c r="O2" s="27"/>
      <c r="P2" s="27"/>
      <c r="Q2" s="27"/>
      <c r="R2" s="27"/>
      <c r="S2" s="27"/>
      <c r="T2" s="5"/>
      <c r="U2" s="5"/>
      <c r="V2" s="5"/>
      <c r="W2" s="5"/>
      <c r="X2" s="5"/>
      <c r="AL2" s="54"/>
      <c r="AM2" s="202" t="s">
        <v>47</v>
      </c>
      <c r="AN2" s="78"/>
      <c r="AO2" s="78"/>
    </row>
    <row r="3" spans="2:37" ht="12.75">
      <c r="B3" s="5"/>
      <c r="C3" s="79" t="s">
        <v>48</v>
      </c>
      <c r="D3" s="78"/>
      <c r="E3" s="80"/>
      <c r="Z3" s="5"/>
      <c r="AA3" s="5"/>
      <c r="AB3" s="5"/>
      <c r="AC3" s="5"/>
      <c r="AD3" s="78" t="s">
        <v>50</v>
      </c>
      <c r="AE3" s="80"/>
      <c r="AF3" s="80"/>
      <c r="AG3" s="5"/>
      <c r="AH3" s="5"/>
      <c r="AI3" s="5"/>
      <c r="AJ3" s="5"/>
      <c r="AK3" s="5"/>
    </row>
    <row r="4" spans="22:41" ht="12.75">
      <c r="V4" s="71">
        <v>1</v>
      </c>
      <c r="W4" s="194" t="s">
        <v>49</v>
      </c>
      <c r="AJ4" s="81">
        <v>2</v>
      </c>
      <c r="AK4" s="82" t="s">
        <v>51</v>
      </c>
      <c r="AL4" s="165">
        <v>2</v>
      </c>
      <c r="AM4" s="166" t="s">
        <v>52</v>
      </c>
      <c r="AO4" s="83">
        <v>1</v>
      </c>
    </row>
    <row r="5" spans="11:41" ht="12.75">
      <c r="K5" s="57"/>
      <c r="L5" s="57"/>
      <c r="M5" s="184" t="s">
        <v>336</v>
      </c>
      <c r="N5" s="184"/>
      <c r="O5" s="184"/>
      <c r="P5" s="185"/>
      <c r="Q5" s="57"/>
      <c r="R5" s="57"/>
      <c r="S5" s="57"/>
      <c r="T5" s="57"/>
      <c r="V5" s="195" t="s">
        <v>53</v>
      </c>
      <c r="W5" s="196" t="s">
        <v>54</v>
      </c>
      <c r="AJ5" s="85" t="s">
        <v>55</v>
      </c>
      <c r="AK5" s="86"/>
      <c r="AM5" s="84"/>
      <c r="AO5" s="87"/>
    </row>
    <row r="6" spans="3:41" ht="12.75">
      <c r="C6" s="83" t="s">
        <v>56</v>
      </c>
      <c r="D6" s="87"/>
      <c r="E6" s="83" t="s">
        <v>57</v>
      </c>
      <c r="K6" s="186" t="s">
        <v>344</v>
      </c>
      <c r="L6" s="186"/>
      <c r="M6" s="57"/>
      <c r="N6" s="57"/>
      <c r="O6" s="57"/>
      <c r="P6" s="57"/>
      <c r="Q6" s="57"/>
      <c r="R6" s="57"/>
      <c r="S6" s="57"/>
      <c r="T6" s="57"/>
      <c r="W6" s="183" t="s">
        <v>58</v>
      </c>
      <c r="AA6" s="83" t="s">
        <v>59</v>
      </c>
      <c r="AB6" s="87"/>
      <c r="AC6" s="83" t="s">
        <v>60</v>
      </c>
      <c r="AD6" s="87"/>
      <c r="AE6" s="83" t="s">
        <v>61</v>
      </c>
      <c r="AF6" s="87"/>
      <c r="AG6" s="83" t="s">
        <v>62</v>
      </c>
      <c r="AH6" s="87"/>
      <c r="AI6" s="83" t="s">
        <v>63</v>
      </c>
      <c r="AK6" s="27" t="s">
        <v>337</v>
      </c>
      <c r="AM6" s="84"/>
      <c r="AO6" s="87"/>
    </row>
    <row r="7" spans="2:41" ht="12.75">
      <c r="B7" s="88">
        <v>0.53</v>
      </c>
      <c r="C7" s="90">
        <v>33</v>
      </c>
      <c r="D7" s="88">
        <v>1.8</v>
      </c>
      <c r="E7" s="90">
        <v>46</v>
      </c>
      <c r="K7" s="187" t="s">
        <v>64</v>
      </c>
      <c r="L7" s="187"/>
      <c r="M7" s="187"/>
      <c r="N7" s="188" t="s">
        <v>333</v>
      </c>
      <c r="O7" s="188"/>
      <c r="P7" s="57" t="s">
        <v>334</v>
      </c>
      <c r="Q7" s="57"/>
      <c r="R7" s="57"/>
      <c r="S7" s="57"/>
      <c r="T7" s="57"/>
      <c r="Z7" s="88">
        <v>2.4</v>
      </c>
      <c r="AA7" s="90">
        <v>66</v>
      </c>
      <c r="AB7" s="88">
        <v>2.2</v>
      </c>
      <c r="AC7" s="90">
        <v>66</v>
      </c>
      <c r="AD7" s="88"/>
      <c r="AE7" s="88"/>
      <c r="AF7" s="88"/>
      <c r="AG7" s="88"/>
      <c r="AH7" s="88"/>
      <c r="AI7" s="88"/>
      <c r="AJ7" s="88"/>
      <c r="AK7" s="88"/>
      <c r="AL7" s="4"/>
      <c r="AM7" s="84"/>
      <c r="AO7" s="87"/>
    </row>
    <row r="8" spans="2:41" ht="12.75">
      <c r="B8" s="54">
        <v>3</v>
      </c>
      <c r="C8" s="55" t="s">
        <v>65</v>
      </c>
      <c r="D8" s="91">
        <v>4</v>
      </c>
      <c r="E8" s="58" t="s">
        <v>66</v>
      </c>
      <c r="K8" s="189" t="s">
        <v>67</v>
      </c>
      <c r="L8" s="189"/>
      <c r="M8" s="189"/>
      <c r="N8" s="188"/>
      <c r="O8" s="188"/>
      <c r="P8" s="193" t="s">
        <v>7</v>
      </c>
      <c r="Q8" s="57" t="s">
        <v>335</v>
      </c>
      <c r="R8" s="57"/>
      <c r="S8" s="57"/>
      <c r="T8" s="57"/>
      <c r="Z8" s="93">
        <v>5</v>
      </c>
      <c r="AA8" s="94" t="s">
        <v>13</v>
      </c>
      <c r="AB8" s="3">
        <v>6</v>
      </c>
      <c r="AC8" s="95" t="s">
        <v>68</v>
      </c>
      <c r="AD8" s="96">
        <v>7</v>
      </c>
      <c r="AE8" s="97" t="s">
        <v>69</v>
      </c>
      <c r="AF8" s="44">
        <v>8</v>
      </c>
      <c r="AG8" s="98" t="s">
        <v>70</v>
      </c>
      <c r="AH8" s="47">
        <v>9</v>
      </c>
      <c r="AI8" s="99" t="s">
        <v>71</v>
      </c>
      <c r="AJ8" s="81">
        <v>10</v>
      </c>
      <c r="AK8" s="82" t="s">
        <v>72</v>
      </c>
      <c r="AL8" s="100">
        <v>2</v>
      </c>
      <c r="AM8" s="101" t="s">
        <v>52</v>
      </c>
      <c r="AO8" s="83">
        <v>2</v>
      </c>
    </row>
    <row r="9" spans="2:41" ht="12.75">
      <c r="B9" s="102" t="s">
        <v>73</v>
      </c>
      <c r="C9" s="103" t="s">
        <v>7</v>
      </c>
      <c r="D9" s="104" t="s">
        <v>74</v>
      </c>
      <c r="E9" s="105" t="s">
        <v>7</v>
      </c>
      <c r="F9" s="11"/>
      <c r="G9" s="11"/>
      <c r="H9" s="11"/>
      <c r="I9" s="11"/>
      <c r="J9" s="11"/>
      <c r="K9" s="57"/>
      <c r="L9" s="190" t="s">
        <v>345</v>
      </c>
      <c r="M9" s="190"/>
      <c r="N9" s="191"/>
      <c r="O9" s="191"/>
      <c r="P9" s="57"/>
      <c r="Q9" s="57"/>
      <c r="R9" s="57"/>
      <c r="S9" s="188"/>
      <c r="T9" s="188"/>
      <c r="U9" s="11"/>
      <c r="V9" s="11"/>
      <c r="W9" s="11"/>
      <c r="X9" s="11"/>
      <c r="Y9" s="11"/>
      <c r="Z9" s="106" t="s">
        <v>75</v>
      </c>
      <c r="AA9" s="106" t="s">
        <v>76</v>
      </c>
      <c r="AB9" s="107" t="s">
        <v>77</v>
      </c>
      <c r="AC9" s="108"/>
      <c r="AD9" s="109" t="s">
        <v>78</v>
      </c>
      <c r="AE9" s="110"/>
      <c r="AF9" s="111" t="s">
        <v>79</v>
      </c>
      <c r="AG9" s="112"/>
      <c r="AH9" s="113" t="s">
        <v>80</v>
      </c>
      <c r="AI9" s="114"/>
      <c r="AJ9" s="115" t="s">
        <v>81</v>
      </c>
      <c r="AK9" s="116"/>
      <c r="AL9" s="100">
        <v>8</v>
      </c>
      <c r="AM9" s="101" t="s">
        <v>82</v>
      </c>
      <c r="AO9" s="87"/>
    </row>
    <row r="10" spans="3:41" ht="12.75">
      <c r="C10" s="182" t="s">
        <v>83</v>
      </c>
      <c r="D10" s="88"/>
      <c r="E10" s="117" t="s">
        <v>84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83" t="s">
        <v>85</v>
      </c>
      <c r="AB10" s="92"/>
      <c r="AC10" s="183" t="s">
        <v>86</v>
      </c>
      <c r="AD10" s="92"/>
      <c r="AE10" s="183" t="s">
        <v>87</v>
      </c>
      <c r="AF10" s="92"/>
      <c r="AG10" s="183" t="s">
        <v>88</v>
      </c>
      <c r="AH10" s="92"/>
      <c r="AI10" s="183" t="s">
        <v>89</v>
      </c>
      <c r="AK10" s="118"/>
      <c r="AL10" s="119"/>
      <c r="AM10" s="120"/>
      <c r="AO10" s="87"/>
    </row>
    <row r="11" spans="2:41" ht="12.75">
      <c r="B11" s="88">
        <v>0.9</v>
      </c>
      <c r="C11" s="90">
        <v>66</v>
      </c>
      <c r="D11" s="88">
        <v>1.7</v>
      </c>
      <c r="E11" s="90">
        <v>38</v>
      </c>
      <c r="T11" s="4"/>
      <c r="Z11" s="88">
        <v>2.6</v>
      </c>
      <c r="AA11" s="90">
        <v>98</v>
      </c>
      <c r="AB11" s="88">
        <v>2.3</v>
      </c>
      <c r="AC11" s="90">
        <v>29</v>
      </c>
      <c r="AD11" s="88">
        <v>1.8</v>
      </c>
      <c r="AE11" s="90">
        <v>2</v>
      </c>
      <c r="AF11" s="121" t="s">
        <v>90</v>
      </c>
      <c r="AG11" s="90">
        <v>86</v>
      </c>
      <c r="AL11" s="165">
        <v>2</v>
      </c>
      <c r="AM11" s="166" t="s">
        <v>52</v>
      </c>
      <c r="AO11" s="87"/>
    </row>
    <row r="12" spans="2:41" ht="12.75">
      <c r="B12" s="54">
        <v>11</v>
      </c>
      <c r="C12" s="55" t="s">
        <v>91</v>
      </c>
      <c r="D12" s="59">
        <v>12</v>
      </c>
      <c r="E12" s="58" t="s">
        <v>92</v>
      </c>
      <c r="N12" s="79" t="s">
        <v>93</v>
      </c>
      <c r="O12" s="78"/>
      <c r="P12" s="80"/>
      <c r="Q12" s="5"/>
      <c r="Z12" s="93">
        <v>13</v>
      </c>
      <c r="AA12" s="122" t="s">
        <v>94</v>
      </c>
      <c r="AB12" s="3">
        <v>14</v>
      </c>
      <c r="AC12" s="95" t="s">
        <v>95</v>
      </c>
      <c r="AD12" s="96">
        <v>15</v>
      </c>
      <c r="AE12" s="123" t="s">
        <v>96</v>
      </c>
      <c r="AF12" s="44">
        <v>16</v>
      </c>
      <c r="AG12" s="124" t="s">
        <v>97</v>
      </c>
      <c r="AH12" s="47">
        <v>17</v>
      </c>
      <c r="AI12" s="99" t="s">
        <v>98</v>
      </c>
      <c r="AJ12" s="81">
        <v>18</v>
      </c>
      <c r="AK12" s="82" t="s">
        <v>99</v>
      </c>
      <c r="AL12" s="165">
        <v>8</v>
      </c>
      <c r="AM12" s="166" t="s">
        <v>82</v>
      </c>
      <c r="AO12" s="83">
        <v>3</v>
      </c>
    </row>
    <row r="13" spans="2:41" ht="12.75">
      <c r="B13" s="102" t="s">
        <v>100</v>
      </c>
      <c r="C13" s="125"/>
      <c r="D13" s="104" t="s">
        <v>101</v>
      </c>
      <c r="E13" s="105"/>
      <c r="Z13" s="106" t="s">
        <v>102</v>
      </c>
      <c r="AA13" s="126"/>
      <c r="AB13" s="107" t="s">
        <v>103</v>
      </c>
      <c r="AC13" s="108"/>
      <c r="AD13" s="109" t="s">
        <v>104</v>
      </c>
      <c r="AE13" s="110"/>
      <c r="AF13" s="111" t="s">
        <v>105</v>
      </c>
      <c r="AG13" s="112"/>
      <c r="AH13" s="113" t="s">
        <v>106</v>
      </c>
      <c r="AI13" s="114"/>
      <c r="AJ13" s="85" t="s">
        <v>107</v>
      </c>
      <c r="AK13" s="127"/>
      <c r="AL13" s="165">
        <v>8</v>
      </c>
      <c r="AM13" s="166" t="s">
        <v>108</v>
      </c>
      <c r="AO13" s="87"/>
    </row>
    <row r="14" spans="3:41" ht="12.75">
      <c r="C14" s="183" t="s">
        <v>109</v>
      </c>
      <c r="D14" s="11"/>
      <c r="E14" s="182" t="s">
        <v>110</v>
      </c>
      <c r="F14" s="88"/>
      <c r="G14" s="83" t="s">
        <v>111</v>
      </c>
      <c r="H14" s="87"/>
      <c r="I14" s="83" t="s">
        <v>112</v>
      </c>
      <c r="J14" s="88"/>
      <c r="K14" s="83" t="s">
        <v>113</v>
      </c>
      <c r="L14" s="88"/>
      <c r="M14" s="83" t="s">
        <v>114</v>
      </c>
      <c r="N14" s="87"/>
      <c r="O14" s="83" t="s">
        <v>115</v>
      </c>
      <c r="P14" s="88"/>
      <c r="Q14" s="83" t="s">
        <v>116</v>
      </c>
      <c r="R14" s="88"/>
      <c r="S14" s="83" t="s">
        <v>116</v>
      </c>
      <c r="T14" s="88"/>
      <c r="U14" s="83" t="s">
        <v>116</v>
      </c>
      <c r="V14" s="88"/>
      <c r="W14" s="83" t="s">
        <v>339</v>
      </c>
      <c r="X14" s="88"/>
      <c r="Y14" s="83" t="s">
        <v>117</v>
      </c>
      <c r="Z14" s="92"/>
      <c r="AA14" s="183" t="s">
        <v>84</v>
      </c>
      <c r="AB14" s="92"/>
      <c r="AC14" s="183" t="s">
        <v>118</v>
      </c>
      <c r="AD14" s="92"/>
      <c r="AE14" s="183" t="s">
        <v>58</v>
      </c>
      <c r="AF14" s="92"/>
      <c r="AG14" s="183" t="s">
        <v>86</v>
      </c>
      <c r="AH14" s="92"/>
      <c r="AI14" s="183" t="s">
        <v>87</v>
      </c>
      <c r="AJ14" s="11"/>
      <c r="AL14" s="128"/>
      <c r="AM14" s="120"/>
      <c r="AO14" s="87"/>
    </row>
    <row r="15" spans="2:41" ht="12.75">
      <c r="B15" s="88">
        <v>0.8</v>
      </c>
      <c r="C15" s="90">
        <v>62</v>
      </c>
      <c r="D15" s="121" t="s">
        <v>119</v>
      </c>
      <c r="E15" s="90">
        <v>3</v>
      </c>
      <c r="F15" s="121" t="s">
        <v>120</v>
      </c>
      <c r="G15" s="90">
        <v>99</v>
      </c>
      <c r="H15" s="121" t="s">
        <v>121</v>
      </c>
      <c r="I15" s="89" t="s">
        <v>122</v>
      </c>
      <c r="J15" s="121" t="s">
        <v>123</v>
      </c>
      <c r="K15" s="89" t="s">
        <v>124</v>
      </c>
      <c r="L15" s="121" t="s">
        <v>125</v>
      </c>
      <c r="M15" s="90">
        <v>94</v>
      </c>
      <c r="N15" s="121" t="s">
        <v>126</v>
      </c>
      <c r="O15" s="90">
        <v>73</v>
      </c>
      <c r="P15" s="121" t="s">
        <v>127</v>
      </c>
      <c r="Q15" s="90">
        <v>73</v>
      </c>
      <c r="R15" s="121" t="s">
        <v>128</v>
      </c>
      <c r="S15" s="90">
        <v>0</v>
      </c>
      <c r="T15" s="121" t="s">
        <v>129</v>
      </c>
      <c r="U15" s="89" t="s">
        <v>130</v>
      </c>
      <c r="V15" s="121" t="s">
        <v>129</v>
      </c>
      <c r="W15" s="90">
        <v>33</v>
      </c>
      <c r="X15" s="121" t="s">
        <v>125</v>
      </c>
      <c r="Y15" s="90">
        <v>35</v>
      </c>
      <c r="Z15" s="121" t="s">
        <v>131</v>
      </c>
      <c r="AA15" s="90">
        <v>87</v>
      </c>
      <c r="AB15" s="88">
        <v>5.2</v>
      </c>
      <c r="AC15" s="90">
        <v>32</v>
      </c>
      <c r="AD15" s="88">
        <v>5.7</v>
      </c>
      <c r="AE15" s="90">
        <v>76</v>
      </c>
      <c r="AF15" s="88">
        <v>4.8</v>
      </c>
      <c r="AG15" s="89" t="s">
        <v>132</v>
      </c>
      <c r="AH15" s="129">
        <v>3.1</v>
      </c>
      <c r="AI15" s="130">
        <v>2</v>
      </c>
      <c r="AL15" s="100">
        <v>2</v>
      </c>
      <c r="AM15" s="101" t="s">
        <v>52</v>
      </c>
      <c r="AO15" s="87"/>
    </row>
    <row r="16" spans="2:41" ht="12.75">
      <c r="B16" s="54">
        <v>19</v>
      </c>
      <c r="C16" s="55" t="s">
        <v>52</v>
      </c>
      <c r="D16" s="59">
        <v>20</v>
      </c>
      <c r="E16" s="58" t="s">
        <v>133</v>
      </c>
      <c r="F16" s="16">
        <v>21</v>
      </c>
      <c r="G16" s="131" t="s">
        <v>134</v>
      </c>
      <c r="H16" s="132">
        <v>22</v>
      </c>
      <c r="I16" s="133" t="s">
        <v>135</v>
      </c>
      <c r="J16" s="134">
        <v>23</v>
      </c>
      <c r="K16" s="135" t="s">
        <v>6</v>
      </c>
      <c r="L16" s="59">
        <v>24</v>
      </c>
      <c r="M16" s="58" t="s">
        <v>136</v>
      </c>
      <c r="N16" s="136">
        <v>25</v>
      </c>
      <c r="O16" s="137" t="s">
        <v>137</v>
      </c>
      <c r="P16" s="21">
        <v>26</v>
      </c>
      <c r="Q16" s="138" t="s">
        <v>138</v>
      </c>
      <c r="R16" s="139">
        <v>27</v>
      </c>
      <c r="S16" s="140" t="s">
        <v>139</v>
      </c>
      <c r="T16" s="141">
        <v>28</v>
      </c>
      <c r="U16" s="142" t="s">
        <v>140</v>
      </c>
      <c r="V16" s="143">
        <v>29</v>
      </c>
      <c r="W16" s="39" t="s">
        <v>141</v>
      </c>
      <c r="X16" s="8">
        <v>30</v>
      </c>
      <c r="Y16" s="40" t="s">
        <v>142</v>
      </c>
      <c r="Z16" s="93">
        <v>31</v>
      </c>
      <c r="AA16" s="122" t="s">
        <v>143</v>
      </c>
      <c r="AB16" s="3">
        <v>32</v>
      </c>
      <c r="AC16" s="95" t="s">
        <v>144</v>
      </c>
      <c r="AD16" s="96">
        <v>33</v>
      </c>
      <c r="AE16" s="144" t="s">
        <v>145</v>
      </c>
      <c r="AF16" s="44">
        <v>34</v>
      </c>
      <c r="AG16" s="124" t="s">
        <v>146</v>
      </c>
      <c r="AH16" s="47">
        <v>35</v>
      </c>
      <c r="AI16" s="192" t="s">
        <v>147</v>
      </c>
      <c r="AJ16" s="81">
        <v>36</v>
      </c>
      <c r="AK16" s="82" t="s">
        <v>148</v>
      </c>
      <c r="AL16" s="100">
        <v>8</v>
      </c>
      <c r="AM16" s="101" t="s">
        <v>82</v>
      </c>
      <c r="AO16" s="83">
        <v>4</v>
      </c>
    </row>
    <row r="17" spans="2:41" ht="12.75">
      <c r="B17" s="125">
        <v>39</v>
      </c>
      <c r="C17" s="125" t="s">
        <v>149</v>
      </c>
      <c r="D17" s="105">
        <v>40</v>
      </c>
      <c r="E17" s="105" t="s">
        <v>150</v>
      </c>
      <c r="F17" s="145" t="s">
        <v>151</v>
      </c>
      <c r="G17" s="146"/>
      <c r="H17" s="147" t="s">
        <v>152</v>
      </c>
      <c r="I17" s="148"/>
      <c r="J17" s="149" t="s">
        <v>153</v>
      </c>
      <c r="K17" s="150"/>
      <c r="L17" s="104" t="s">
        <v>154</v>
      </c>
      <c r="M17" s="105"/>
      <c r="N17" s="151" t="s">
        <v>155</v>
      </c>
      <c r="O17" s="152"/>
      <c r="P17" s="153" t="s">
        <v>156</v>
      </c>
      <c r="Q17" s="154"/>
      <c r="R17" s="155" t="s">
        <v>157</v>
      </c>
      <c r="S17" s="156"/>
      <c r="T17" s="157" t="s">
        <v>158</v>
      </c>
      <c r="U17" s="158"/>
      <c r="V17" s="159" t="s">
        <v>159</v>
      </c>
      <c r="W17" s="160"/>
      <c r="X17" s="161" t="s">
        <v>160</v>
      </c>
      <c r="Y17" s="162"/>
      <c r="Z17" s="106" t="s">
        <v>161</v>
      </c>
      <c r="AA17" s="126"/>
      <c r="AB17" s="107" t="s">
        <v>162</v>
      </c>
      <c r="AC17" s="108"/>
      <c r="AD17" s="109" t="s">
        <v>163</v>
      </c>
      <c r="AE17" s="110"/>
      <c r="AF17" s="111" t="s">
        <v>164</v>
      </c>
      <c r="AG17" s="112"/>
      <c r="AH17" s="113" t="s">
        <v>165</v>
      </c>
      <c r="AI17" s="114"/>
      <c r="AJ17" s="85" t="s">
        <v>166</v>
      </c>
      <c r="AK17" s="127"/>
      <c r="AL17" s="100">
        <v>18</v>
      </c>
      <c r="AM17" s="101" t="s">
        <v>108</v>
      </c>
      <c r="AO17" s="87"/>
    </row>
    <row r="18" spans="2:41" ht="12.75">
      <c r="B18" s="88"/>
      <c r="C18" s="183" t="s">
        <v>167</v>
      </c>
      <c r="D18" s="92"/>
      <c r="E18" s="183" t="s">
        <v>83</v>
      </c>
      <c r="F18" s="92"/>
      <c r="G18" s="183" t="s">
        <v>168</v>
      </c>
      <c r="H18" s="92"/>
      <c r="I18" s="183" t="s">
        <v>84</v>
      </c>
      <c r="J18" s="92"/>
      <c r="K18" s="183" t="s">
        <v>169</v>
      </c>
      <c r="L18" s="92"/>
      <c r="M18" s="183" t="s">
        <v>169</v>
      </c>
      <c r="N18" s="92"/>
      <c r="O18" s="183" t="s">
        <v>84</v>
      </c>
      <c r="P18" s="92"/>
      <c r="Q18" s="183" t="s">
        <v>118</v>
      </c>
      <c r="R18" s="92"/>
      <c r="S18" s="183" t="s">
        <v>170</v>
      </c>
      <c r="T18" s="92"/>
      <c r="U18" s="183" t="s">
        <v>170</v>
      </c>
      <c r="V18" s="92"/>
      <c r="W18" s="183" t="s">
        <v>170</v>
      </c>
      <c r="X18" s="92"/>
      <c r="Y18" s="183" t="s">
        <v>169</v>
      </c>
      <c r="Z18" s="92"/>
      <c r="AA18" s="183" t="s">
        <v>169</v>
      </c>
      <c r="AB18" s="92"/>
      <c r="AC18" s="183" t="s">
        <v>118</v>
      </c>
      <c r="AD18" s="92"/>
      <c r="AE18" s="183" t="s">
        <v>85</v>
      </c>
      <c r="AF18" s="92"/>
      <c r="AG18" s="183" t="s">
        <v>171</v>
      </c>
      <c r="AH18" s="92"/>
      <c r="AI18" s="183" t="s">
        <v>172</v>
      </c>
      <c r="AL18" s="100">
        <v>8</v>
      </c>
      <c r="AM18" s="101" t="s">
        <v>69</v>
      </c>
      <c r="AO18" s="87"/>
    </row>
    <row r="19" spans="2:41" ht="12.75">
      <c r="B19" s="88">
        <v>1.5</v>
      </c>
      <c r="C19" s="90">
        <v>33</v>
      </c>
      <c r="D19" s="88">
        <v>2.5</v>
      </c>
      <c r="E19" s="90">
        <v>83</v>
      </c>
      <c r="F19" s="88">
        <v>4.4</v>
      </c>
      <c r="G19" s="90">
        <v>75</v>
      </c>
      <c r="H19" s="88">
        <v>6.5</v>
      </c>
      <c r="I19" s="89" t="s">
        <v>130</v>
      </c>
      <c r="J19" s="88">
        <v>8.5</v>
      </c>
      <c r="K19" s="90">
        <v>78</v>
      </c>
      <c r="L19" s="121" t="s">
        <v>173</v>
      </c>
      <c r="M19" s="88">
        <v>222</v>
      </c>
      <c r="N19" s="89" t="s">
        <v>174</v>
      </c>
      <c r="O19" s="88">
        <v>496</v>
      </c>
      <c r="P19" s="121" t="s">
        <v>175</v>
      </c>
      <c r="Q19" s="90">
        <v>36</v>
      </c>
      <c r="R19" s="121" t="s">
        <v>175</v>
      </c>
      <c r="S19" s="90">
        <v>42</v>
      </c>
      <c r="T19" s="121" t="s">
        <v>174</v>
      </c>
      <c r="U19" s="90">
        <v>995</v>
      </c>
      <c r="V19" s="121" t="s">
        <v>173</v>
      </c>
      <c r="W19" s="90">
        <v>500</v>
      </c>
      <c r="X19" s="88">
        <v>8.6</v>
      </c>
      <c r="Y19" s="90">
        <v>97</v>
      </c>
      <c r="Z19" s="121" t="s">
        <v>131</v>
      </c>
      <c r="AA19" s="90">
        <v>29</v>
      </c>
      <c r="AB19" s="88">
        <v>7.2</v>
      </c>
      <c r="AC19" s="90">
        <v>85</v>
      </c>
      <c r="AD19" s="88">
        <v>6.6</v>
      </c>
      <c r="AE19" s="90">
        <v>92</v>
      </c>
      <c r="AF19" s="88">
        <v>6.2</v>
      </c>
      <c r="AG19" s="90">
        <v>47</v>
      </c>
      <c r="AH19" s="88">
        <v>4.9</v>
      </c>
      <c r="AI19" s="90">
        <v>53</v>
      </c>
      <c r="AJ19" s="163" t="s">
        <v>7</v>
      </c>
      <c r="AK19" s="164" t="s">
        <v>176</v>
      </c>
      <c r="AL19" s="165">
        <v>8</v>
      </c>
      <c r="AM19" s="166" t="s">
        <v>82</v>
      </c>
      <c r="AO19" s="87"/>
    </row>
    <row r="20" spans="2:41" ht="12.75">
      <c r="B20" s="54">
        <v>37</v>
      </c>
      <c r="C20" s="55" t="s">
        <v>177</v>
      </c>
      <c r="D20" s="59">
        <v>38</v>
      </c>
      <c r="E20" s="58" t="s">
        <v>178</v>
      </c>
      <c r="F20" s="16">
        <v>39</v>
      </c>
      <c r="G20" s="131" t="s">
        <v>179</v>
      </c>
      <c r="H20" s="132">
        <v>40</v>
      </c>
      <c r="I20" s="133" t="s">
        <v>180</v>
      </c>
      <c r="J20" s="134">
        <v>41</v>
      </c>
      <c r="K20" s="135" t="s">
        <v>181</v>
      </c>
      <c r="L20" s="59">
        <v>41</v>
      </c>
      <c r="M20" s="58" t="s">
        <v>182</v>
      </c>
      <c r="N20" s="136">
        <v>43</v>
      </c>
      <c r="O20" s="137" t="s">
        <v>183</v>
      </c>
      <c r="P20" s="21">
        <v>44</v>
      </c>
      <c r="Q20" s="138" t="s">
        <v>184</v>
      </c>
      <c r="R20" s="139">
        <v>45</v>
      </c>
      <c r="S20" s="140" t="s">
        <v>185</v>
      </c>
      <c r="T20" s="141">
        <v>46</v>
      </c>
      <c r="U20" s="142" t="s">
        <v>186</v>
      </c>
      <c r="V20" s="143">
        <v>47</v>
      </c>
      <c r="W20" s="39" t="s">
        <v>187</v>
      </c>
      <c r="X20" s="8">
        <v>48</v>
      </c>
      <c r="Y20" s="40" t="s">
        <v>188</v>
      </c>
      <c r="Z20" s="93">
        <v>49</v>
      </c>
      <c r="AA20" s="122" t="s">
        <v>189</v>
      </c>
      <c r="AB20" s="3">
        <v>50</v>
      </c>
      <c r="AC20" s="167" t="s">
        <v>190</v>
      </c>
      <c r="AD20" s="96">
        <v>51</v>
      </c>
      <c r="AE20" s="168" t="s">
        <v>191</v>
      </c>
      <c r="AF20" s="44">
        <v>52</v>
      </c>
      <c r="AG20" s="169" t="s">
        <v>192</v>
      </c>
      <c r="AH20" s="47">
        <v>53</v>
      </c>
      <c r="AI20" s="170" t="s">
        <v>193</v>
      </c>
      <c r="AJ20" s="81">
        <v>54</v>
      </c>
      <c r="AK20" s="82" t="s">
        <v>194</v>
      </c>
      <c r="AL20" s="165">
        <v>18</v>
      </c>
      <c r="AM20" s="166" t="s">
        <v>108</v>
      </c>
      <c r="AO20" s="83">
        <v>5</v>
      </c>
    </row>
    <row r="21" spans="2:41" ht="12.75">
      <c r="B21" s="125">
        <v>39</v>
      </c>
      <c r="C21" s="125" t="s">
        <v>149</v>
      </c>
      <c r="D21" s="105">
        <v>40</v>
      </c>
      <c r="E21" s="105" t="s">
        <v>150</v>
      </c>
      <c r="F21" s="145" t="s">
        <v>195</v>
      </c>
      <c r="G21" s="146"/>
      <c r="H21" s="147" t="s">
        <v>196</v>
      </c>
      <c r="I21" s="148"/>
      <c r="J21" s="149" t="s">
        <v>197</v>
      </c>
      <c r="K21" s="150"/>
      <c r="L21" s="104" t="s">
        <v>198</v>
      </c>
      <c r="M21" s="105"/>
      <c r="N21" s="151" t="s">
        <v>199</v>
      </c>
      <c r="O21" s="152"/>
      <c r="P21" s="153" t="s">
        <v>200</v>
      </c>
      <c r="Q21" s="154"/>
      <c r="R21" s="155" t="s">
        <v>201</v>
      </c>
      <c r="S21" s="156"/>
      <c r="T21" s="157" t="s">
        <v>202</v>
      </c>
      <c r="U21" s="158"/>
      <c r="V21" s="159" t="s">
        <v>203</v>
      </c>
      <c r="W21" s="160"/>
      <c r="X21" s="161" t="s">
        <v>204</v>
      </c>
      <c r="Y21" s="162"/>
      <c r="Z21" s="106" t="s">
        <v>205</v>
      </c>
      <c r="AA21" s="126"/>
      <c r="AB21" s="107" t="s">
        <v>206</v>
      </c>
      <c r="AC21" s="108"/>
      <c r="AD21" s="109" t="s">
        <v>207</v>
      </c>
      <c r="AE21" s="110"/>
      <c r="AF21" s="111" t="s">
        <v>208</v>
      </c>
      <c r="AG21" s="112"/>
      <c r="AH21" s="113" t="s">
        <v>209</v>
      </c>
      <c r="AI21" s="114"/>
      <c r="AJ21" s="85" t="s">
        <v>210</v>
      </c>
      <c r="AK21" s="127"/>
      <c r="AL21" s="165">
        <v>18</v>
      </c>
      <c r="AM21" s="166" t="s">
        <v>69</v>
      </c>
      <c r="AO21" s="87"/>
    </row>
    <row r="22" spans="3:41" ht="12.75">
      <c r="C22" s="183" t="s">
        <v>167</v>
      </c>
      <c r="D22" s="11"/>
      <c r="E22" s="183" t="s">
        <v>83</v>
      </c>
      <c r="F22" s="92"/>
      <c r="G22" s="183" t="s">
        <v>211</v>
      </c>
      <c r="H22" s="92"/>
      <c r="I22" s="183" t="s">
        <v>212</v>
      </c>
      <c r="J22" s="92"/>
      <c r="K22" s="183" t="s">
        <v>169</v>
      </c>
      <c r="L22" s="92"/>
      <c r="M22" s="183" t="s">
        <v>118</v>
      </c>
      <c r="N22" s="92" t="s">
        <v>7</v>
      </c>
      <c r="O22" s="183" t="s">
        <v>170</v>
      </c>
      <c r="P22" s="92"/>
      <c r="Q22" s="183" t="s">
        <v>213</v>
      </c>
      <c r="R22" s="92"/>
      <c r="S22" s="183" t="s">
        <v>213</v>
      </c>
      <c r="T22" s="92"/>
      <c r="U22" s="183" t="s">
        <v>213</v>
      </c>
      <c r="V22" s="92"/>
      <c r="W22" s="183" t="s">
        <v>170</v>
      </c>
      <c r="X22" s="92"/>
      <c r="Y22" s="183" t="s">
        <v>214</v>
      </c>
      <c r="Z22" s="92"/>
      <c r="AA22" s="183" t="s">
        <v>214</v>
      </c>
      <c r="AB22" s="92"/>
      <c r="AC22" s="183" t="s">
        <v>118</v>
      </c>
      <c r="AD22" s="92"/>
      <c r="AE22" s="183" t="s">
        <v>170</v>
      </c>
      <c r="AF22" s="92"/>
      <c r="AG22" s="183" t="s">
        <v>58</v>
      </c>
      <c r="AH22" s="92"/>
      <c r="AI22" s="183" t="s">
        <v>86</v>
      </c>
      <c r="AK22" t="s">
        <v>7</v>
      </c>
      <c r="AL22" s="165">
        <v>8</v>
      </c>
      <c r="AM22" s="166" t="s">
        <v>70</v>
      </c>
      <c r="AO22" s="87"/>
    </row>
    <row r="23" spans="2:41" ht="12.75">
      <c r="B23" s="89" t="s">
        <v>215</v>
      </c>
      <c r="C23" s="90">
        <v>0</v>
      </c>
      <c r="D23" s="88">
        <v>3.5</v>
      </c>
      <c r="E23" s="90">
        <v>94</v>
      </c>
      <c r="F23" s="88">
        <v>6.1</v>
      </c>
      <c r="G23" s="90">
        <v>74</v>
      </c>
      <c r="H23" s="121" t="s">
        <v>216</v>
      </c>
      <c r="I23" s="88">
        <v>276</v>
      </c>
      <c r="J23" s="121" t="s">
        <v>217</v>
      </c>
      <c r="K23" s="90">
        <v>67</v>
      </c>
      <c r="L23" s="121" t="s">
        <v>218</v>
      </c>
      <c r="M23" s="88">
        <v>254</v>
      </c>
      <c r="N23" s="171" t="s">
        <v>219</v>
      </c>
      <c r="O23" s="89" t="s">
        <v>220</v>
      </c>
      <c r="P23" s="121" t="s">
        <v>221</v>
      </c>
      <c r="Q23" s="90">
        <v>58</v>
      </c>
      <c r="R23" s="121" t="s">
        <v>221</v>
      </c>
      <c r="S23" s="90">
        <v>55</v>
      </c>
      <c r="T23" s="121" t="s">
        <v>219</v>
      </c>
      <c r="U23" s="90">
        <v>45</v>
      </c>
      <c r="V23" s="89" t="s">
        <v>218</v>
      </c>
      <c r="W23" s="88">
        <v>281</v>
      </c>
      <c r="X23" s="172" t="s">
        <v>216</v>
      </c>
      <c r="Y23" s="173">
        <v>546</v>
      </c>
      <c r="Z23" s="121" t="s">
        <v>174</v>
      </c>
      <c r="AA23" s="88">
        <v>871</v>
      </c>
      <c r="AB23" s="121" t="s">
        <v>174</v>
      </c>
      <c r="AC23" s="88">
        <v>343</v>
      </c>
      <c r="AD23" s="88">
        <v>9.8</v>
      </c>
      <c r="AE23" s="89" t="s">
        <v>222</v>
      </c>
      <c r="AF23" s="121" t="s">
        <v>223</v>
      </c>
      <c r="AG23" s="90">
        <v>4</v>
      </c>
      <c r="AH23" s="88"/>
      <c r="AI23" s="88"/>
      <c r="AJ23" s="84" t="s">
        <v>7</v>
      </c>
      <c r="AK23" s="174" t="s">
        <v>176</v>
      </c>
      <c r="AL23" s="100">
        <v>8</v>
      </c>
      <c r="AM23" s="101" t="s">
        <v>82</v>
      </c>
      <c r="AO23" s="87"/>
    </row>
    <row r="24" spans="2:41" ht="12.75">
      <c r="B24" s="54">
        <v>55</v>
      </c>
      <c r="C24" s="55" t="s">
        <v>224</v>
      </c>
      <c r="D24" s="59">
        <v>56</v>
      </c>
      <c r="E24" s="58" t="s">
        <v>225</v>
      </c>
      <c r="F24" s="175">
        <v>57</v>
      </c>
      <c r="G24" s="131" t="s">
        <v>226</v>
      </c>
      <c r="H24" s="176">
        <v>72</v>
      </c>
      <c r="I24" s="133" t="s">
        <v>227</v>
      </c>
      <c r="J24" s="134">
        <v>73</v>
      </c>
      <c r="K24" s="135" t="s">
        <v>228</v>
      </c>
      <c r="L24" s="59">
        <v>74</v>
      </c>
      <c r="M24" s="58" t="s">
        <v>229</v>
      </c>
      <c r="N24" s="136">
        <v>75</v>
      </c>
      <c r="O24" s="137" t="s">
        <v>230</v>
      </c>
      <c r="P24" s="21">
        <v>76</v>
      </c>
      <c r="Q24" s="138" t="s">
        <v>231</v>
      </c>
      <c r="R24" s="139">
        <v>77</v>
      </c>
      <c r="S24" s="140" t="s">
        <v>232</v>
      </c>
      <c r="T24" s="141">
        <v>78</v>
      </c>
      <c r="U24" s="142" t="s">
        <v>233</v>
      </c>
      <c r="V24" s="143">
        <v>79</v>
      </c>
      <c r="W24" s="39" t="s">
        <v>234</v>
      </c>
      <c r="X24" s="8">
        <v>80</v>
      </c>
      <c r="Y24" s="13" t="s">
        <v>235</v>
      </c>
      <c r="Z24" s="93">
        <v>81</v>
      </c>
      <c r="AA24" s="122" t="s">
        <v>236</v>
      </c>
      <c r="AB24" s="177">
        <v>82</v>
      </c>
      <c r="AC24" s="167" t="s">
        <v>237</v>
      </c>
      <c r="AD24" s="96">
        <v>83</v>
      </c>
      <c r="AE24" s="168" t="s">
        <v>238</v>
      </c>
      <c r="AF24" s="44">
        <v>84</v>
      </c>
      <c r="AG24" s="42" t="s">
        <v>239</v>
      </c>
      <c r="AH24" s="178">
        <v>85</v>
      </c>
      <c r="AI24" s="179" t="s">
        <v>240</v>
      </c>
      <c r="AJ24" s="81">
        <v>86</v>
      </c>
      <c r="AK24" s="82" t="s">
        <v>241</v>
      </c>
      <c r="AL24" s="100">
        <v>18</v>
      </c>
      <c r="AM24" s="101" t="s">
        <v>108</v>
      </c>
      <c r="AO24" s="83">
        <v>6</v>
      </c>
    </row>
    <row r="25" spans="2:39" ht="12.75">
      <c r="B25" s="125">
        <v>39</v>
      </c>
      <c r="C25" s="125" t="s">
        <v>149</v>
      </c>
      <c r="D25" s="104" t="s">
        <v>242</v>
      </c>
      <c r="E25" s="105"/>
      <c r="F25" s="145" t="s">
        <v>243</v>
      </c>
      <c r="G25" s="146"/>
      <c r="H25" s="147" t="s">
        <v>244</v>
      </c>
      <c r="I25" s="148"/>
      <c r="J25" s="149" t="s">
        <v>245</v>
      </c>
      <c r="K25" s="150"/>
      <c r="L25" s="104" t="s">
        <v>246</v>
      </c>
      <c r="M25" s="105"/>
      <c r="N25" s="151" t="s">
        <v>247</v>
      </c>
      <c r="O25" s="152"/>
      <c r="P25" s="153" t="s">
        <v>248</v>
      </c>
      <c r="Q25" s="154"/>
      <c r="R25" s="155" t="s">
        <v>249</v>
      </c>
      <c r="S25" s="156"/>
      <c r="T25" s="157" t="s">
        <v>250</v>
      </c>
      <c r="U25" s="158"/>
      <c r="V25" s="159" t="s">
        <v>251</v>
      </c>
      <c r="W25" s="160"/>
      <c r="X25" s="161" t="s">
        <v>252</v>
      </c>
      <c r="Y25" s="162"/>
      <c r="Z25" s="106" t="s">
        <v>253</v>
      </c>
      <c r="AA25" s="126"/>
      <c r="AB25" s="107" t="s">
        <v>254</v>
      </c>
      <c r="AC25" s="108"/>
      <c r="AD25" s="109" t="s">
        <v>255</v>
      </c>
      <c r="AE25" s="110"/>
      <c r="AF25" s="112" t="s">
        <v>256</v>
      </c>
      <c r="AG25" s="112"/>
      <c r="AH25" s="113" t="s">
        <v>257</v>
      </c>
      <c r="AI25" s="114"/>
      <c r="AJ25" s="85" t="s">
        <v>258</v>
      </c>
      <c r="AK25" s="127"/>
      <c r="AL25" s="100">
        <v>32</v>
      </c>
      <c r="AM25" s="101" t="s">
        <v>69</v>
      </c>
    </row>
    <row r="26" spans="3:39" ht="12.75">
      <c r="C26" s="183" t="s">
        <v>259</v>
      </c>
      <c r="D26" s="11"/>
      <c r="E26" s="183" t="s">
        <v>109</v>
      </c>
      <c r="F26" s="11"/>
      <c r="G26" s="183" t="s">
        <v>83</v>
      </c>
      <c r="H26" s="92"/>
      <c r="I26" s="183" t="s">
        <v>168</v>
      </c>
      <c r="J26" s="92"/>
      <c r="K26" s="183" t="s">
        <v>84</v>
      </c>
      <c r="L26" s="92"/>
      <c r="M26" s="183" t="s">
        <v>214</v>
      </c>
      <c r="N26" s="92" t="s">
        <v>7</v>
      </c>
      <c r="O26" s="183" t="s">
        <v>170</v>
      </c>
      <c r="P26" s="197"/>
      <c r="Q26" s="183" t="s">
        <v>213</v>
      </c>
      <c r="R26" s="92"/>
      <c r="S26" s="183" t="s">
        <v>213</v>
      </c>
      <c r="T26" s="92"/>
      <c r="U26" s="183" t="s">
        <v>213</v>
      </c>
      <c r="V26" s="92"/>
      <c r="W26" s="183" t="s">
        <v>171</v>
      </c>
      <c r="X26" s="92"/>
      <c r="Y26" s="183" t="s">
        <v>170</v>
      </c>
      <c r="Z26" s="92"/>
      <c r="AA26" s="183" t="s">
        <v>118</v>
      </c>
      <c r="AB26" s="92"/>
      <c r="AC26" s="183" t="s">
        <v>170</v>
      </c>
      <c r="AD26" s="92"/>
      <c r="AE26" s="183" t="s">
        <v>170</v>
      </c>
      <c r="AF26" s="92"/>
      <c r="AG26" s="183" t="s">
        <v>85</v>
      </c>
      <c r="AH26" s="92"/>
      <c r="AI26" s="183" t="s">
        <v>213</v>
      </c>
      <c r="AL26" s="100">
        <v>18</v>
      </c>
      <c r="AM26" s="101" t="s">
        <v>70</v>
      </c>
    </row>
    <row r="27" spans="2:39" ht="12.75">
      <c r="B27" s="88"/>
      <c r="C27" s="88"/>
      <c r="D27" s="121" t="s">
        <v>260</v>
      </c>
      <c r="E27" s="90">
        <v>0</v>
      </c>
      <c r="F27" s="121" t="s">
        <v>173</v>
      </c>
      <c r="G27" s="89" t="s">
        <v>261</v>
      </c>
      <c r="AL27" s="100">
        <v>8</v>
      </c>
      <c r="AM27" s="101" t="s">
        <v>96</v>
      </c>
    </row>
    <row r="28" spans="2:39" ht="14.25">
      <c r="B28" s="54">
        <v>87</v>
      </c>
      <c r="C28" s="55" t="s">
        <v>262</v>
      </c>
      <c r="D28" s="59">
        <v>88</v>
      </c>
      <c r="E28" s="58" t="s">
        <v>0</v>
      </c>
      <c r="F28" s="175">
        <v>89</v>
      </c>
      <c r="G28" s="131" t="s">
        <v>263</v>
      </c>
      <c r="AH28" s="199" t="s">
        <v>342</v>
      </c>
      <c r="AI28" s="200"/>
      <c r="AJ28" s="199" t="s">
        <v>343</v>
      </c>
      <c r="AK28" s="200"/>
      <c r="AL28" s="78" t="s">
        <v>264</v>
      </c>
      <c r="AM28" s="78"/>
    </row>
    <row r="29" spans="2:7" ht="12.75">
      <c r="B29" s="125">
        <v>39</v>
      </c>
      <c r="C29" s="125" t="s">
        <v>149</v>
      </c>
      <c r="D29" s="104" t="s">
        <v>242</v>
      </c>
      <c r="E29" s="105"/>
      <c r="F29" s="145" t="s">
        <v>243</v>
      </c>
      <c r="G29" s="146"/>
    </row>
    <row r="30" spans="3:5" ht="12.75">
      <c r="C30" s="183" t="s">
        <v>259</v>
      </c>
      <c r="D30" s="11"/>
      <c r="E30" s="183" t="s">
        <v>109</v>
      </c>
    </row>
    <row r="31" spans="2:38" ht="15.75">
      <c r="B31" s="198" t="s">
        <v>340</v>
      </c>
      <c r="C31" s="198"/>
      <c r="D31" s="198" t="s">
        <v>346</v>
      </c>
      <c r="E31" s="119"/>
      <c r="H31" s="89"/>
      <c r="K31" s="121" t="s">
        <v>265</v>
      </c>
      <c r="L31" s="90">
        <v>11</v>
      </c>
      <c r="M31" s="121" t="s">
        <v>265</v>
      </c>
      <c r="N31" s="90">
        <v>79</v>
      </c>
      <c r="O31" s="121" t="s">
        <v>131</v>
      </c>
      <c r="P31" s="89" t="s">
        <v>266</v>
      </c>
      <c r="Q31" s="121" t="s">
        <v>131</v>
      </c>
      <c r="R31" s="90">
        <v>22</v>
      </c>
      <c r="S31" s="121" t="s">
        <v>131</v>
      </c>
      <c r="T31" s="88">
        <v>536</v>
      </c>
      <c r="U31" s="121" t="s">
        <v>267</v>
      </c>
      <c r="V31" s="90">
        <v>48</v>
      </c>
      <c r="W31" s="121" t="s">
        <v>131</v>
      </c>
      <c r="X31" s="90">
        <v>87</v>
      </c>
      <c r="Y31" s="88">
        <v>8.2</v>
      </c>
      <c r="Z31" s="90">
        <v>67</v>
      </c>
      <c r="AA31" s="88">
        <v>8.5</v>
      </c>
      <c r="AB31" s="90">
        <v>31</v>
      </c>
      <c r="AC31" s="88">
        <v>8.7</v>
      </c>
      <c r="AD31" s="90">
        <v>97</v>
      </c>
      <c r="AE31" s="121" t="s">
        <v>268</v>
      </c>
      <c r="AF31" s="90">
        <v>44</v>
      </c>
      <c r="AG31" s="121" t="s">
        <v>269</v>
      </c>
      <c r="AH31" s="90">
        <v>25</v>
      </c>
      <c r="AI31" s="121" t="s">
        <v>270</v>
      </c>
      <c r="AJ31" s="90">
        <v>66</v>
      </c>
      <c r="AK31" s="88">
        <v>9.8</v>
      </c>
      <c r="AL31" s="90">
        <v>42</v>
      </c>
    </row>
    <row r="32" spans="2:38" ht="15.75">
      <c r="B32" s="4"/>
      <c r="C32" s="4"/>
      <c r="D32" s="198" t="s">
        <v>341</v>
      </c>
      <c r="E32" s="119"/>
      <c r="K32" s="175">
        <v>58</v>
      </c>
      <c r="L32" s="131" t="s">
        <v>271</v>
      </c>
      <c r="M32" s="175">
        <v>59</v>
      </c>
      <c r="N32" s="131" t="s">
        <v>272</v>
      </c>
      <c r="O32" s="175">
        <v>60</v>
      </c>
      <c r="P32" s="131" t="s">
        <v>273</v>
      </c>
      <c r="Q32" s="175">
        <v>61</v>
      </c>
      <c r="R32" s="131" t="s">
        <v>274</v>
      </c>
      <c r="S32" s="175">
        <v>62</v>
      </c>
      <c r="T32" s="131" t="s">
        <v>275</v>
      </c>
      <c r="U32" s="175">
        <v>63</v>
      </c>
      <c r="V32" s="131" t="s">
        <v>276</v>
      </c>
      <c r="W32" s="175">
        <v>64</v>
      </c>
      <c r="X32" s="131" t="s">
        <v>277</v>
      </c>
      <c r="Y32" s="175">
        <v>65</v>
      </c>
      <c r="Z32" s="131" t="s">
        <v>278</v>
      </c>
      <c r="AA32" s="175">
        <v>66</v>
      </c>
      <c r="AB32" s="131" t="s">
        <v>279</v>
      </c>
      <c r="AC32" s="175">
        <v>67</v>
      </c>
      <c r="AD32" s="131" t="s">
        <v>280</v>
      </c>
      <c r="AE32" s="175">
        <v>68</v>
      </c>
      <c r="AF32" s="131" t="s">
        <v>281</v>
      </c>
      <c r="AG32" s="175">
        <v>69</v>
      </c>
      <c r="AH32" s="131" t="s">
        <v>282</v>
      </c>
      <c r="AI32" s="175">
        <v>70</v>
      </c>
      <c r="AJ32" s="131" t="s">
        <v>283</v>
      </c>
      <c r="AK32" s="175">
        <v>71</v>
      </c>
      <c r="AL32" s="131" t="s">
        <v>284</v>
      </c>
    </row>
    <row r="33" spans="7:38" ht="12.75">
      <c r="G33" s="131" t="s">
        <v>285</v>
      </c>
      <c r="H33" s="131"/>
      <c r="I33" s="131"/>
      <c r="J33" s="131" t="s">
        <v>338</v>
      </c>
      <c r="K33" s="145" t="s">
        <v>286</v>
      </c>
      <c r="L33" s="146"/>
      <c r="M33" s="145" t="s">
        <v>287</v>
      </c>
      <c r="N33" s="146"/>
      <c r="O33" s="145" t="s">
        <v>288</v>
      </c>
      <c r="P33" s="146"/>
      <c r="Q33" s="145" t="s">
        <v>289</v>
      </c>
      <c r="R33" s="146"/>
      <c r="S33" s="145" t="s">
        <v>290</v>
      </c>
      <c r="T33" s="146"/>
      <c r="U33" s="145" t="s">
        <v>291</v>
      </c>
      <c r="V33" s="146"/>
      <c r="W33" s="145" t="s">
        <v>292</v>
      </c>
      <c r="X33" s="146"/>
      <c r="Y33" s="145" t="s">
        <v>293</v>
      </c>
      <c r="Z33" s="146"/>
      <c r="AA33" s="145" t="s">
        <v>294</v>
      </c>
      <c r="AB33" s="146"/>
      <c r="AC33" s="145" t="s">
        <v>295</v>
      </c>
      <c r="AD33" s="146"/>
      <c r="AE33" s="145" t="s">
        <v>296</v>
      </c>
      <c r="AF33" s="146"/>
      <c r="AG33" s="145" t="s">
        <v>297</v>
      </c>
      <c r="AH33" s="146"/>
      <c r="AI33" s="145" t="s">
        <v>298</v>
      </c>
      <c r="AJ33" s="146"/>
      <c r="AK33" s="145" t="s">
        <v>299</v>
      </c>
      <c r="AL33" s="146"/>
    </row>
    <row r="34" spans="11:38" ht="12.75">
      <c r="K34" s="121" t="s">
        <v>174</v>
      </c>
      <c r="L34" s="88">
        <v>725</v>
      </c>
      <c r="M34" s="121" t="s">
        <v>300</v>
      </c>
      <c r="N34" s="90">
        <v>37</v>
      </c>
      <c r="O34" s="121" t="s">
        <v>218</v>
      </c>
      <c r="P34" s="89" t="s">
        <v>301</v>
      </c>
      <c r="Q34" s="121" t="s">
        <v>302</v>
      </c>
      <c r="R34" s="90">
        <v>45</v>
      </c>
      <c r="S34" s="121" t="s">
        <v>218</v>
      </c>
      <c r="T34" s="88">
        <v>814</v>
      </c>
      <c r="U34" s="121" t="s">
        <v>216</v>
      </c>
      <c r="V34" s="90">
        <v>67</v>
      </c>
      <c r="W34" s="121" t="s">
        <v>216</v>
      </c>
      <c r="X34" s="90">
        <v>3</v>
      </c>
      <c r="Y34" s="121" t="s">
        <v>303</v>
      </c>
      <c r="Z34" s="90">
        <v>79</v>
      </c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</row>
    <row r="35" spans="11:38" ht="12.75">
      <c r="K35" s="49">
        <v>90</v>
      </c>
      <c r="L35" s="180" t="s">
        <v>304</v>
      </c>
      <c r="M35" s="49">
        <v>91</v>
      </c>
      <c r="N35" s="180" t="s">
        <v>305</v>
      </c>
      <c r="O35" s="49">
        <v>92</v>
      </c>
      <c r="P35" s="180" t="s">
        <v>306</v>
      </c>
      <c r="Q35" s="49">
        <v>93</v>
      </c>
      <c r="R35" s="180" t="s">
        <v>307</v>
      </c>
      <c r="S35" s="49">
        <v>94</v>
      </c>
      <c r="T35" s="180" t="s">
        <v>308</v>
      </c>
      <c r="U35" s="49">
        <v>95</v>
      </c>
      <c r="V35" s="180" t="s">
        <v>309</v>
      </c>
      <c r="W35" s="49">
        <v>96</v>
      </c>
      <c r="X35" s="180" t="s">
        <v>310</v>
      </c>
      <c r="Y35" s="49">
        <v>97</v>
      </c>
      <c r="Z35" s="180" t="s">
        <v>311</v>
      </c>
      <c r="AA35" s="49">
        <v>98</v>
      </c>
      <c r="AB35" s="180" t="s">
        <v>312</v>
      </c>
      <c r="AC35" s="49">
        <v>99</v>
      </c>
      <c r="AD35" s="180" t="s">
        <v>313</v>
      </c>
      <c r="AE35" s="181">
        <v>100</v>
      </c>
      <c r="AF35" s="180" t="s">
        <v>314</v>
      </c>
      <c r="AG35" s="181">
        <v>101</v>
      </c>
      <c r="AH35" s="180" t="s">
        <v>315</v>
      </c>
      <c r="AI35" s="181">
        <v>102</v>
      </c>
      <c r="AJ35" s="180" t="s">
        <v>316</v>
      </c>
      <c r="AK35" s="181">
        <v>103</v>
      </c>
      <c r="AL35" s="180" t="s">
        <v>317</v>
      </c>
    </row>
    <row r="36" spans="7:38" ht="12.75">
      <c r="G36" s="180" t="s">
        <v>318</v>
      </c>
      <c r="H36" s="180"/>
      <c r="I36" s="180"/>
      <c r="J36" s="180" t="s">
        <v>319</v>
      </c>
      <c r="K36" s="113" t="s">
        <v>320</v>
      </c>
      <c r="L36" s="114"/>
      <c r="M36" s="113" t="s">
        <v>321</v>
      </c>
      <c r="N36" s="114"/>
      <c r="O36" s="113" t="s">
        <v>322</v>
      </c>
      <c r="P36" s="114"/>
      <c r="Q36" s="113" t="s">
        <v>323</v>
      </c>
      <c r="R36" s="114"/>
      <c r="S36" s="113" t="s">
        <v>324</v>
      </c>
      <c r="T36" s="114"/>
      <c r="U36" s="113" t="s">
        <v>325</v>
      </c>
      <c r="V36" s="114"/>
      <c r="W36" s="113" t="s">
        <v>326</v>
      </c>
      <c r="X36" s="114"/>
      <c r="Y36" s="113" t="s">
        <v>326</v>
      </c>
      <c r="Z36" s="114"/>
      <c r="AA36" s="113" t="s">
        <v>327</v>
      </c>
      <c r="AB36" s="114"/>
      <c r="AC36" s="113" t="s">
        <v>328</v>
      </c>
      <c r="AD36" s="114"/>
      <c r="AE36" s="113" t="s">
        <v>329</v>
      </c>
      <c r="AF36" s="114"/>
      <c r="AG36" s="113" t="s">
        <v>330</v>
      </c>
      <c r="AH36" s="114"/>
      <c r="AI36" s="113" t="s">
        <v>331</v>
      </c>
      <c r="AJ36" s="114"/>
      <c r="AK36" s="113" t="s">
        <v>332</v>
      </c>
      <c r="AL36" s="11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31"/>
  <sheetViews>
    <sheetView tabSelected="1" workbookViewId="0" topLeftCell="N1">
      <selection activeCell="X16" sqref="X16"/>
    </sheetView>
  </sheetViews>
  <sheetFormatPr defaultColWidth="9.140625" defaultRowHeight="12.75"/>
  <cols>
    <col min="1" max="1" width="12.7109375" style="0" customWidth="1"/>
    <col min="2" max="2" width="7.140625" style="0" customWidth="1"/>
    <col min="3" max="3" width="9.28125" style="0" customWidth="1"/>
    <col min="4" max="4" width="8.00390625" style="0" customWidth="1"/>
    <col min="5" max="5" width="10.28125" style="0" customWidth="1"/>
    <col min="6" max="6" width="16.28125" style="0" customWidth="1"/>
    <col min="7" max="7" width="11.57421875" style="0" customWidth="1"/>
    <col min="8" max="8" width="8.7109375" style="0" customWidth="1"/>
    <col min="9" max="9" width="9.00390625" style="0" customWidth="1"/>
    <col min="10" max="10" width="10.7109375" style="0" customWidth="1"/>
    <col min="11" max="11" width="8.57421875" style="0" customWidth="1"/>
    <col min="13" max="13" width="10.28125" style="0" customWidth="1"/>
    <col min="14" max="14" width="12.421875" style="0" customWidth="1"/>
    <col min="15" max="15" width="12.00390625" style="0" customWidth="1"/>
    <col min="16" max="16" width="9.57421875" style="0" customWidth="1"/>
    <col min="17" max="17" width="9.421875" style="0" customWidth="1"/>
    <col min="18" max="18" width="11.28125" style="0" customWidth="1"/>
    <col min="19" max="19" width="13.140625" style="0" customWidth="1"/>
    <col min="21" max="21" width="10.57421875" style="0" customWidth="1"/>
    <col min="22" max="22" width="12.28125" style="0" customWidth="1"/>
    <col min="25" max="25" width="15.7109375" style="0" customWidth="1"/>
    <col min="26" max="26" width="10.421875" style="0" customWidth="1"/>
    <col min="27" max="27" width="11.8515625" style="0" customWidth="1"/>
  </cols>
  <sheetData>
    <row r="1" spans="1:19" ht="12.75">
      <c r="A1" s="27" t="s">
        <v>563</v>
      </c>
      <c r="B1" s="27"/>
      <c r="C1" s="27"/>
      <c r="D1" s="27"/>
      <c r="E1" s="27"/>
      <c r="F1" s="5"/>
      <c r="G1" s="27"/>
      <c r="H1" s="5"/>
      <c r="I1" s="5"/>
      <c r="J1" s="5"/>
      <c r="L1" s="27" t="s">
        <v>637</v>
      </c>
      <c r="M1" s="27"/>
      <c r="N1" s="27"/>
      <c r="O1" s="27"/>
      <c r="P1" s="374" t="s">
        <v>7</v>
      </c>
      <c r="Q1" s="322" t="s">
        <v>638</v>
      </c>
      <c r="R1" s="322"/>
      <c r="S1" s="10"/>
    </row>
    <row r="2" spans="1:27" ht="12.75">
      <c r="A2" s="88" t="s">
        <v>900</v>
      </c>
      <c r="B2" s="209" t="s">
        <v>898</v>
      </c>
      <c r="C2" s="209"/>
      <c r="D2" s="209"/>
      <c r="E2" s="209" t="s">
        <v>894</v>
      </c>
      <c r="F2" s="209"/>
      <c r="G2" s="209" t="s">
        <v>895</v>
      </c>
      <c r="H2" s="209" t="s">
        <v>896</v>
      </c>
      <c r="I2" s="209"/>
      <c r="J2" s="209" t="s">
        <v>897</v>
      </c>
      <c r="K2" s="209"/>
      <c r="L2" s="209"/>
      <c r="M2" s="209" t="s">
        <v>899</v>
      </c>
      <c r="N2" s="209"/>
      <c r="O2" s="374">
        <f>M7/46</f>
        <v>0.8601122924381793</v>
      </c>
      <c r="AA2" s="4"/>
    </row>
    <row r="3" spans="1:27" ht="12.75">
      <c r="A3" s="213" t="s">
        <v>443</v>
      </c>
      <c r="C3" s="189" t="s">
        <v>446</v>
      </c>
      <c r="D3" s="257" t="s">
        <v>446</v>
      </c>
      <c r="E3" s="208" t="s">
        <v>438</v>
      </c>
      <c r="F3" s="217" t="s">
        <v>437</v>
      </c>
      <c r="G3" s="211" t="s">
        <v>512</v>
      </c>
      <c r="H3" s="271" t="s">
        <v>514</v>
      </c>
      <c r="I3" s="216" t="s">
        <v>429</v>
      </c>
      <c r="J3" s="214" t="s">
        <v>436</v>
      </c>
      <c r="K3" s="240" t="s">
        <v>433</v>
      </c>
      <c r="L3" s="202" t="s">
        <v>439</v>
      </c>
      <c r="M3" s="233" t="s">
        <v>434</v>
      </c>
      <c r="N3" s="232" t="s">
        <v>435</v>
      </c>
      <c r="O3" s="232" t="s">
        <v>440</v>
      </c>
      <c r="P3" s="258" t="s">
        <v>539</v>
      </c>
      <c r="Q3" s="133"/>
      <c r="R3" s="267" t="s">
        <v>507</v>
      </c>
      <c r="U3" s="54"/>
      <c r="V3" s="54"/>
      <c r="W3" s="54"/>
      <c r="X3" s="54"/>
      <c r="Y3" s="54"/>
      <c r="Z3" s="54"/>
      <c r="AA3" s="54"/>
    </row>
    <row r="4" spans="1:27" ht="15.75">
      <c r="A4" s="213" t="s">
        <v>617</v>
      </c>
      <c r="C4" s="189" t="s">
        <v>490</v>
      </c>
      <c r="D4" s="257" t="s">
        <v>504</v>
      </c>
      <c r="E4" s="208" t="s">
        <v>388</v>
      </c>
      <c r="F4" s="208" t="s">
        <v>522</v>
      </c>
      <c r="G4" s="221" t="s">
        <v>893</v>
      </c>
      <c r="H4" s="216" t="s">
        <v>431</v>
      </c>
      <c r="I4" s="216" t="s">
        <v>430</v>
      </c>
      <c r="J4" s="202" t="s">
        <v>405</v>
      </c>
      <c r="K4" s="202" t="s">
        <v>402</v>
      </c>
      <c r="L4" s="202" t="s">
        <v>402</v>
      </c>
      <c r="M4" s="232" t="s">
        <v>584</v>
      </c>
      <c r="N4" s="232" t="s">
        <v>408</v>
      </c>
      <c r="O4" s="232" t="s">
        <v>410</v>
      </c>
      <c r="P4" s="258" t="s">
        <v>499</v>
      </c>
      <c r="Q4" s="133"/>
      <c r="R4" s="267" t="s">
        <v>508</v>
      </c>
      <c r="U4" s="54"/>
      <c r="V4" s="325" t="s">
        <v>639</v>
      </c>
      <c r="W4" s="325"/>
      <c r="X4" s="325"/>
      <c r="Y4" s="55"/>
      <c r="Z4" s="54"/>
      <c r="AA4" s="54"/>
    </row>
    <row r="5" spans="1:27" ht="14.25" customHeight="1">
      <c r="A5" s="213" t="s">
        <v>428</v>
      </c>
      <c r="C5" s="189" t="s">
        <v>491</v>
      </c>
      <c r="D5" s="257" t="s">
        <v>505</v>
      </c>
      <c r="E5" s="208" t="s">
        <v>374</v>
      </c>
      <c r="F5" s="208" t="s">
        <v>521</v>
      </c>
      <c r="G5" s="221" t="s">
        <v>513</v>
      </c>
      <c r="H5" s="216" t="s">
        <v>444</v>
      </c>
      <c r="I5" s="216" t="s">
        <v>444</v>
      </c>
      <c r="J5" s="214" t="s">
        <v>406</v>
      </c>
      <c r="K5" s="214" t="s">
        <v>403</v>
      </c>
      <c r="L5" s="214" t="s">
        <v>442</v>
      </c>
      <c r="M5" s="233" t="s">
        <v>411</v>
      </c>
      <c r="N5" s="233" t="s">
        <v>409</v>
      </c>
      <c r="O5" s="234" t="s">
        <v>414</v>
      </c>
      <c r="P5" s="259" t="s">
        <v>500</v>
      </c>
      <c r="Q5" s="258" t="s">
        <v>473</v>
      </c>
      <c r="R5" s="269" t="s">
        <v>509</v>
      </c>
      <c r="S5" s="7"/>
      <c r="U5" s="54" t="s">
        <v>7</v>
      </c>
      <c r="V5" s="54"/>
      <c r="W5" s="54"/>
      <c r="X5" s="54"/>
      <c r="Y5" s="54"/>
      <c r="Z5" s="54"/>
      <c r="AA5" s="54"/>
    </row>
    <row r="6" spans="1:27" ht="16.5" customHeight="1">
      <c r="A6" s="209" t="s">
        <v>992</v>
      </c>
      <c r="C6" s="189" t="s">
        <v>492</v>
      </c>
      <c r="D6" s="273"/>
      <c r="E6" s="208" t="s">
        <v>387</v>
      </c>
      <c r="F6" s="217" t="s">
        <v>523</v>
      </c>
      <c r="G6" s="274" t="s">
        <v>991</v>
      </c>
      <c r="H6" s="216" t="s">
        <v>389</v>
      </c>
      <c r="I6" s="216" t="s">
        <v>389</v>
      </c>
      <c r="J6" s="214" t="s">
        <v>407</v>
      </c>
      <c r="K6" s="214" t="s">
        <v>404</v>
      </c>
      <c r="L6" s="214" t="s">
        <v>404</v>
      </c>
      <c r="M6" s="233" t="s">
        <v>463</v>
      </c>
      <c r="N6" s="235" t="s">
        <v>415</v>
      </c>
      <c r="O6" s="236" t="s">
        <v>413</v>
      </c>
      <c r="P6" s="260" t="s">
        <v>469</v>
      </c>
      <c r="Q6" s="260" t="s">
        <v>470</v>
      </c>
      <c r="R6" s="269" t="s">
        <v>510</v>
      </c>
      <c r="S6" s="7"/>
      <c r="U6" s="54"/>
      <c r="V6" s="54"/>
      <c r="W6" s="328" t="s">
        <v>667</v>
      </c>
      <c r="X6" s="323"/>
      <c r="Y6" s="54"/>
      <c r="Z6" s="54"/>
      <c r="AA6" s="54"/>
    </row>
    <row r="7" spans="1:27" ht="12.75">
      <c r="A7" s="243" t="s">
        <v>757</v>
      </c>
      <c r="B7" s="210" t="s">
        <v>138</v>
      </c>
      <c r="C7" s="254">
        <v>7.8</v>
      </c>
      <c r="D7" s="255" t="s">
        <v>506</v>
      </c>
      <c r="E7" s="218"/>
      <c r="F7" s="218"/>
      <c r="G7" s="241">
        <v>11.5</v>
      </c>
      <c r="H7" s="225">
        <v>1430</v>
      </c>
      <c r="I7" s="96"/>
      <c r="J7" s="334">
        <f>460/4185.5</f>
        <v>0.1099032373671007</v>
      </c>
      <c r="K7" s="54"/>
      <c r="L7" s="54" t="s">
        <v>7</v>
      </c>
      <c r="M7" s="249">
        <f>46*3600/4185.5</f>
        <v>39.56516545215625</v>
      </c>
      <c r="N7" s="248">
        <v>72</v>
      </c>
      <c r="O7" s="59"/>
      <c r="P7" s="132"/>
      <c r="Q7" s="132"/>
      <c r="R7" s="268">
        <v>207</v>
      </c>
      <c r="S7" s="243" t="s">
        <v>511</v>
      </c>
      <c r="U7" s="54"/>
      <c r="V7" s="54"/>
      <c r="W7" s="54"/>
      <c r="X7" s="54"/>
      <c r="Y7" s="54"/>
      <c r="Z7" s="54"/>
      <c r="AA7" s="54"/>
    </row>
    <row r="8" spans="1:27" ht="14.25">
      <c r="A8" s="207" t="s">
        <v>357</v>
      </c>
      <c r="B8" s="204" t="s">
        <v>94</v>
      </c>
      <c r="C8" s="254">
        <v>2.698</v>
      </c>
      <c r="D8" s="255">
        <v>26.982</v>
      </c>
      <c r="E8" s="219" t="s">
        <v>375</v>
      </c>
      <c r="F8" s="219" t="s">
        <v>390</v>
      </c>
      <c r="G8" s="222">
        <v>23.2</v>
      </c>
      <c r="H8" s="225">
        <v>660</v>
      </c>
      <c r="I8" s="225">
        <v>2400</v>
      </c>
      <c r="J8" s="408">
        <f>24.4/(4.1855*26.982)</f>
        <v>0.21605700029949573</v>
      </c>
      <c r="K8" s="230">
        <f>395/4.1855</f>
        <v>94.3734320869669</v>
      </c>
      <c r="L8" s="252">
        <f>293.72/(4.1855*26.982)*1000</f>
        <v>2600.830415080651</v>
      </c>
      <c r="M8" s="250">
        <f>239*co</f>
        <v>205.56683789272486</v>
      </c>
      <c r="N8" s="238">
        <v>2.72</v>
      </c>
      <c r="O8" s="238">
        <v>3.9</v>
      </c>
      <c r="P8" s="377" t="s">
        <v>917</v>
      </c>
      <c r="Q8" s="262">
        <v>1.000023</v>
      </c>
      <c r="R8" s="268">
        <v>70</v>
      </c>
      <c r="S8" s="207" t="s">
        <v>357</v>
      </c>
      <c r="U8" s="323" t="s">
        <v>641</v>
      </c>
      <c r="V8" s="323"/>
      <c r="W8" s="323"/>
      <c r="X8" s="323"/>
      <c r="Y8" s="323"/>
      <c r="Z8" s="54"/>
      <c r="AA8" s="54"/>
    </row>
    <row r="9" spans="1:27" ht="12.75">
      <c r="A9" s="207" t="s">
        <v>380</v>
      </c>
      <c r="B9" s="204" t="s">
        <v>187</v>
      </c>
      <c r="C9" s="254">
        <v>10.5</v>
      </c>
      <c r="D9" s="255">
        <v>107.868</v>
      </c>
      <c r="E9" s="219" t="s">
        <v>7</v>
      </c>
      <c r="F9" s="219" t="s">
        <v>391</v>
      </c>
      <c r="G9" s="222">
        <v>19.2</v>
      </c>
      <c r="H9" s="225">
        <f>1234-273</f>
        <v>961</v>
      </c>
      <c r="I9" s="225">
        <v>2160</v>
      </c>
      <c r="J9" s="316">
        <f>25.4/(4.1855*107.868)</f>
        <v>0.056259224823986924</v>
      </c>
      <c r="K9" s="252">
        <f>11.3/(4.1855*107.868)*1000</f>
        <v>25.02871025634064</v>
      </c>
      <c r="L9" s="252">
        <f>255.06/(4.1855*107.868)*1000</f>
        <v>564.9400741577206</v>
      </c>
      <c r="M9" s="250">
        <f>48*co</f>
        <v>41.285390037032606</v>
      </c>
      <c r="N9" s="239">
        <v>1.59</v>
      </c>
      <c r="O9" s="238">
        <v>3.9</v>
      </c>
      <c r="P9" s="261" t="s">
        <v>912</v>
      </c>
      <c r="Q9" s="262">
        <v>0.99998</v>
      </c>
      <c r="R9" s="268"/>
      <c r="S9" s="207" t="s">
        <v>380</v>
      </c>
      <c r="U9" s="54"/>
      <c r="V9" s="54"/>
      <c r="W9" s="54"/>
      <c r="X9" s="54"/>
      <c r="Y9" s="54"/>
      <c r="Z9" s="54"/>
      <c r="AA9" s="54"/>
    </row>
    <row r="10" spans="1:27" ht="14.25">
      <c r="A10" s="207" t="s">
        <v>496</v>
      </c>
      <c r="B10" s="204" t="s">
        <v>238</v>
      </c>
      <c r="C10" s="254">
        <v>9.803</v>
      </c>
      <c r="D10" s="255">
        <v>208.98</v>
      </c>
      <c r="E10" s="219" t="s">
        <v>516</v>
      </c>
      <c r="F10" s="219" t="s">
        <v>517</v>
      </c>
      <c r="G10" s="222">
        <v>13.5</v>
      </c>
      <c r="H10" s="225">
        <v>271</v>
      </c>
      <c r="I10" s="225">
        <v>1550</v>
      </c>
      <c r="J10" s="316">
        <f>25500/(4185.5*208.98)</f>
        <v>0.02915332601893533</v>
      </c>
      <c r="K10" s="230">
        <f>11000/(4185.5*208.98)*1000</f>
        <v>12.575944557187789</v>
      </c>
      <c r="L10" s="230">
        <f>207000/(4185.5*208.98)*1000</f>
        <v>236.65641121253384</v>
      </c>
      <c r="M10" s="250">
        <f>8*co</f>
        <v>6.880898339505435</v>
      </c>
      <c r="N10" s="238">
        <v>119</v>
      </c>
      <c r="O10" s="238"/>
      <c r="P10" s="378" t="s">
        <v>914</v>
      </c>
      <c r="Q10" s="263">
        <v>0.99982</v>
      </c>
      <c r="R10" s="268">
        <v>32</v>
      </c>
      <c r="S10" s="207" t="s">
        <v>496</v>
      </c>
      <c r="U10" s="323" t="s">
        <v>576</v>
      </c>
      <c r="V10" s="323"/>
      <c r="W10" s="323"/>
      <c r="X10" s="324" t="s">
        <v>575</v>
      </c>
      <c r="Y10" s="323"/>
      <c r="Z10" s="323"/>
      <c r="AA10" s="54"/>
    </row>
    <row r="11" spans="1:27" ht="12.75">
      <c r="A11" s="243" t="s">
        <v>465</v>
      </c>
      <c r="B11" s="204" t="s">
        <v>141</v>
      </c>
      <c r="C11" s="254">
        <v>8.86</v>
      </c>
      <c r="D11" s="255"/>
      <c r="E11" s="219"/>
      <c r="F11" s="219"/>
      <c r="G11" s="222">
        <v>18</v>
      </c>
      <c r="H11" s="225">
        <v>1000</v>
      </c>
      <c r="I11" s="225"/>
      <c r="J11" s="316">
        <v>0.09</v>
      </c>
      <c r="K11" s="253" t="s">
        <v>7</v>
      </c>
      <c r="L11" s="253"/>
      <c r="M11" s="250">
        <f>56*co</f>
        <v>48.16628837653804</v>
      </c>
      <c r="N11" s="238">
        <v>11</v>
      </c>
      <c r="O11" s="59"/>
      <c r="P11" s="261" t="s">
        <v>7</v>
      </c>
      <c r="Q11" s="264" t="s">
        <v>7</v>
      </c>
      <c r="R11" s="268"/>
      <c r="S11" s="207" t="s">
        <v>465</v>
      </c>
      <c r="U11" s="54"/>
      <c r="V11" s="54"/>
      <c r="W11" s="54"/>
      <c r="X11" s="54"/>
      <c r="Y11" s="54"/>
      <c r="Z11" s="54"/>
      <c r="AA11" s="54"/>
    </row>
    <row r="12" spans="1:27" ht="14.25">
      <c r="A12" s="207" t="s">
        <v>501</v>
      </c>
      <c r="B12" s="204" t="s">
        <v>139</v>
      </c>
      <c r="C12" s="254">
        <v>8.8</v>
      </c>
      <c r="D12" s="255">
        <v>58.933</v>
      </c>
      <c r="E12" s="219" t="s">
        <v>375</v>
      </c>
      <c r="F12" s="219" t="s">
        <v>515</v>
      </c>
      <c r="G12" s="222">
        <v>12</v>
      </c>
      <c r="H12" s="225">
        <v>1494</v>
      </c>
      <c r="I12" s="225">
        <v>2900</v>
      </c>
      <c r="J12" s="316">
        <v>0.1</v>
      </c>
      <c r="K12" s="252">
        <f>258/4.1855</f>
        <v>61.641380958069526</v>
      </c>
      <c r="L12" s="230">
        <f>382.4/(58.933*4185.5)*1000000</f>
        <v>1550.286580751587</v>
      </c>
      <c r="M12" s="272" t="s">
        <v>466</v>
      </c>
      <c r="N12" s="238">
        <v>6.4</v>
      </c>
      <c r="O12" s="238"/>
      <c r="P12" s="265"/>
      <c r="Q12" s="132"/>
      <c r="R12" s="268">
        <v>210</v>
      </c>
      <c r="S12" s="207" t="s">
        <v>501</v>
      </c>
      <c r="U12" s="55" t="s">
        <v>577</v>
      </c>
      <c r="V12" s="55"/>
      <c r="W12" s="387" t="s">
        <v>924</v>
      </c>
      <c r="X12" s="324" t="s">
        <v>579</v>
      </c>
      <c r="Y12" s="323"/>
      <c r="Z12" s="323" t="s">
        <v>578</v>
      </c>
      <c r="AA12" s="54"/>
    </row>
    <row r="13" spans="1:27" ht="12.75">
      <c r="A13" s="243" t="s">
        <v>467</v>
      </c>
      <c r="B13" s="204" t="s">
        <v>141</v>
      </c>
      <c r="C13" s="254">
        <v>8.9</v>
      </c>
      <c r="D13" s="255" t="s">
        <v>468</v>
      </c>
      <c r="E13" s="219" t="s">
        <v>7</v>
      </c>
      <c r="F13" s="219"/>
      <c r="G13" s="222">
        <v>14.9</v>
      </c>
      <c r="H13" s="225">
        <v>1250</v>
      </c>
      <c r="I13" s="225" t="s">
        <v>7</v>
      </c>
      <c r="J13" s="316">
        <v>0.09</v>
      </c>
      <c r="K13" s="253">
        <v>1078</v>
      </c>
      <c r="L13" s="253">
        <v>2580</v>
      </c>
      <c r="M13" s="249">
        <f>21*co</f>
        <v>18.062358141201766</v>
      </c>
      <c r="N13" s="238">
        <v>50</v>
      </c>
      <c r="O13" s="238">
        <v>2E-05</v>
      </c>
      <c r="P13" s="261"/>
      <c r="Q13" s="132"/>
      <c r="R13" s="268">
        <v>162</v>
      </c>
      <c r="S13" s="243" t="s">
        <v>467</v>
      </c>
      <c r="U13" s="54"/>
      <c r="V13" s="54"/>
      <c r="W13" s="54"/>
      <c r="X13" s="54"/>
      <c r="Y13" s="54"/>
      <c r="Z13" s="54"/>
      <c r="AA13" s="54"/>
    </row>
    <row r="14" spans="1:27" ht="12.75">
      <c r="A14" s="207" t="s">
        <v>565</v>
      </c>
      <c r="B14" s="204" t="s">
        <v>136</v>
      </c>
      <c r="C14" s="254">
        <v>8.9</v>
      </c>
      <c r="D14" s="255">
        <v>51.996</v>
      </c>
      <c r="E14" s="219" t="s">
        <v>7</v>
      </c>
      <c r="F14" s="219"/>
      <c r="G14" s="222">
        <v>14.9</v>
      </c>
      <c r="H14" s="225">
        <v>1860</v>
      </c>
      <c r="I14" s="225">
        <v>2600</v>
      </c>
      <c r="J14" s="316">
        <v>0.09</v>
      </c>
      <c r="K14" s="252">
        <f>13810/(4.1855*51.996)</f>
        <v>63.45654130751114</v>
      </c>
      <c r="L14" s="252">
        <f>K14*348.78/13.81</f>
        <v>1602.6337782211247</v>
      </c>
      <c r="M14" s="249">
        <f>21*co</f>
        <v>18.062358141201766</v>
      </c>
      <c r="N14" s="238">
        <v>50</v>
      </c>
      <c r="O14" s="238" t="s">
        <v>7</v>
      </c>
      <c r="P14" s="377" t="s">
        <v>917</v>
      </c>
      <c r="Q14" s="262">
        <v>1.00033</v>
      </c>
      <c r="R14" s="268">
        <v>162</v>
      </c>
      <c r="S14" s="207" t="s">
        <v>565</v>
      </c>
      <c r="U14" s="55" t="s">
        <v>580</v>
      </c>
      <c r="V14" s="54"/>
      <c r="W14" s="55"/>
      <c r="X14" s="324" t="s">
        <v>581</v>
      </c>
      <c r="Y14" s="323"/>
      <c r="Z14" s="54"/>
      <c r="AA14" s="54"/>
    </row>
    <row r="15" spans="1:27" ht="12.75">
      <c r="A15" s="207" t="s">
        <v>358</v>
      </c>
      <c r="B15" s="204" t="s">
        <v>138</v>
      </c>
      <c r="C15" s="254">
        <v>7.873</v>
      </c>
      <c r="D15" s="255">
        <v>55.85</v>
      </c>
      <c r="E15" s="219" t="s">
        <v>376</v>
      </c>
      <c r="F15" s="219" t="s">
        <v>392</v>
      </c>
      <c r="G15" s="222">
        <v>11.7</v>
      </c>
      <c r="H15" s="383" t="s">
        <v>919</v>
      </c>
      <c r="I15" s="225">
        <v>2800</v>
      </c>
      <c r="J15" s="316">
        <f>452/4185.5</f>
        <v>0.10799187671723809</v>
      </c>
      <c r="K15" s="230">
        <f>275/4.1855</f>
        <v>65.7030223390276</v>
      </c>
      <c r="L15" s="253">
        <f>351.04/(55.85*4.1855)*1000</f>
        <v>1501.710032515162</v>
      </c>
      <c r="M15" s="250">
        <f>80*co</f>
        <v>68.80898339505434</v>
      </c>
      <c r="N15" s="238">
        <v>10.1</v>
      </c>
      <c r="O15" s="238">
        <v>5.9</v>
      </c>
      <c r="P15" s="379" t="s">
        <v>915</v>
      </c>
      <c r="Q15" s="380" t="s">
        <v>497</v>
      </c>
      <c r="R15" s="268">
        <v>211</v>
      </c>
      <c r="S15" s="207" t="s">
        <v>358</v>
      </c>
      <c r="U15" s="54"/>
      <c r="V15" s="54"/>
      <c r="W15" s="54"/>
      <c r="X15" s="54"/>
      <c r="Y15" s="54"/>
      <c r="Z15" s="54"/>
      <c r="AA15" s="54"/>
    </row>
    <row r="16" spans="1:27" ht="15">
      <c r="A16" s="216" t="s">
        <v>574</v>
      </c>
      <c r="B16" s="204" t="s">
        <v>144</v>
      </c>
      <c r="C16" s="254">
        <v>5.232</v>
      </c>
      <c r="D16" s="255">
        <v>72.59</v>
      </c>
      <c r="E16" s="219"/>
      <c r="F16" s="219"/>
      <c r="G16" s="222"/>
      <c r="H16" s="225">
        <v>958</v>
      </c>
      <c r="I16" s="225">
        <v>2830</v>
      </c>
      <c r="J16" s="316">
        <f>23300/(4185.5*72.59)</f>
        <v>0.07668877108038137</v>
      </c>
      <c r="K16" s="230">
        <f>31800/(4185.5*72.59)*1000</f>
        <v>104.665361388675</v>
      </c>
      <c r="L16" s="230">
        <f>K16*334.3/31.8</f>
        <v>1100.3028400073601</v>
      </c>
      <c r="M16" s="250"/>
      <c r="N16" s="238" t="s">
        <v>670</v>
      </c>
      <c r="O16" s="238">
        <v>-50</v>
      </c>
      <c r="P16" s="261" t="s">
        <v>502</v>
      </c>
      <c r="Q16" s="265"/>
      <c r="R16" s="268"/>
      <c r="S16" s="216" t="s">
        <v>574</v>
      </c>
      <c r="U16" s="323" t="s">
        <v>582</v>
      </c>
      <c r="V16" s="323"/>
      <c r="W16" s="326" t="s">
        <v>925</v>
      </c>
      <c r="X16" s="324" t="s">
        <v>993</v>
      </c>
      <c r="Y16" s="323"/>
      <c r="Z16" s="54"/>
      <c r="AA16" s="54"/>
    </row>
    <row r="17" spans="1:27" ht="12.75">
      <c r="A17" s="243" t="s">
        <v>673</v>
      </c>
      <c r="B17" s="204" t="s">
        <v>138</v>
      </c>
      <c r="C17" s="275" t="s">
        <v>671</v>
      </c>
      <c r="D17" s="255"/>
      <c r="E17" s="219"/>
      <c r="F17" s="219"/>
      <c r="G17" s="311" t="s">
        <v>672</v>
      </c>
      <c r="H17" s="225">
        <v>1200</v>
      </c>
      <c r="I17" s="225"/>
      <c r="J17" s="316"/>
      <c r="K17" s="230"/>
      <c r="L17" s="230"/>
      <c r="M17" s="250">
        <v>39</v>
      </c>
      <c r="N17" s="238">
        <v>67</v>
      </c>
      <c r="O17" s="238"/>
      <c r="P17" s="261"/>
      <c r="Q17" s="265"/>
      <c r="R17" s="268"/>
      <c r="S17" s="216"/>
      <c r="U17" s="323"/>
      <c r="V17" s="323"/>
      <c r="W17" s="326"/>
      <c r="X17" s="324"/>
      <c r="Y17" s="323"/>
      <c r="Z17" s="54"/>
      <c r="AA17" s="54"/>
    </row>
    <row r="18" spans="1:27" ht="12.75">
      <c r="A18" s="207" t="s">
        <v>359</v>
      </c>
      <c r="B18" s="204" t="s">
        <v>92</v>
      </c>
      <c r="C18" s="254">
        <v>1.738</v>
      </c>
      <c r="D18" s="255">
        <v>24.305</v>
      </c>
      <c r="E18" s="219" t="s">
        <v>377</v>
      </c>
      <c r="F18" s="219" t="s">
        <v>393</v>
      </c>
      <c r="G18" s="222">
        <v>25</v>
      </c>
      <c r="H18" s="225">
        <v>650</v>
      </c>
      <c r="I18" s="225">
        <v>1097</v>
      </c>
      <c r="J18" s="316">
        <f>1017/4185.5</f>
        <v>0.2429817226137857</v>
      </c>
      <c r="K18" s="230">
        <f>368/4.1855</f>
        <v>87.92258989368057</v>
      </c>
      <c r="L18" s="252">
        <f>K18*128.66/8.95</f>
        <v>1263.924068795636</v>
      </c>
      <c r="M18" s="250">
        <f>159*co</f>
        <v>136.7578544976705</v>
      </c>
      <c r="N18" s="238">
        <v>4.6</v>
      </c>
      <c r="O18" s="238">
        <v>4</v>
      </c>
      <c r="P18" s="261"/>
      <c r="Q18" s="261"/>
      <c r="R18" s="268">
        <v>45</v>
      </c>
      <c r="S18" s="207" t="s">
        <v>359</v>
      </c>
      <c r="U18" s="54"/>
      <c r="V18" s="54"/>
      <c r="W18" s="54"/>
      <c r="X18" s="54"/>
      <c r="Y18" s="54"/>
      <c r="Z18" s="54"/>
      <c r="AA18" s="54"/>
    </row>
    <row r="19" spans="1:27" ht="14.25">
      <c r="A19" s="207" t="s">
        <v>360</v>
      </c>
      <c r="B19" s="204" t="s">
        <v>137</v>
      </c>
      <c r="C19" s="254">
        <v>7.473</v>
      </c>
      <c r="D19" s="255">
        <v>54.938</v>
      </c>
      <c r="E19" s="219" t="s">
        <v>378</v>
      </c>
      <c r="F19" s="219" t="s">
        <v>7</v>
      </c>
      <c r="G19" s="222">
        <v>22.8</v>
      </c>
      <c r="H19" s="225">
        <v>1247</v>
      </c>
      <c r="I19" s="225">
        <v>2057</v>
      </c>
      <c r="J19" s="316">
        <f>477/4185.5</f>
        <v>0.11396487874805877</v>
      </c>
      <c r="K19" s="230">
        <f>266/4.1855</f>
        <v>63.55274160793214</v>
      </c>
      <c r="L19" s="252">
        <f>219740/(4.1855*54.938)</f>
        <v>955.628138084778</v>
      </c>
      <c r="M19" s="250">
        <f>8*co</f>
        <v>6.880898339505435</v>
      </c>
      <c r="N19" s="238" t="s">
        <v>382</v>
      </c>
      <c r="O19" s="238" t="s">
        <v>466</v>
      </c>
      <c r="P19" s="261"/>
      <c r="Q19" s="261"/>
      <c r="R19" s="268">
        <v>157</v>
      </c>
      <c r="S19" s="207" t="s">
        <v>360</v>
      </c>
      <c r="U19" s="323" t="s">
        <v>642</v>
      </c>
      <c r="V19" s="323"/>
      <c r="W19" s="323"/>
      <c r="X19" s="324" t="s">
        <v>640</v>
      </c>
      <c r="Y19" s="323"/>
      <c r="Z19" s="54"/>
      <c r="AA19" s="54"/>
    </row>
    <row r="20" spans="1:27" ht="12.75">
      <c r="A20" s="212" t="s">
        <v>361</v>
      </c>
      <c r="B20" s="204" t="s">
        <v>235</v>
      </c>
      <c r="C20" s="254">
        <v>13.546</v>
      </c>
      <c r="D20" s="255">
        <v>200.59</v>
      </c>
      <c r="E20" s="218"/>
      <c r="F20" s="220" t="s">
        <v>985</v>
      </c>
      <c r="G20" s="311" t="s">
        <v>608</v>
      </c>
      <c r="H20" s="226">
        <v>-39</v>
      </c>
      <c r="I20" s="226">
        <v>357</v>
      </c>
      <c r="J20" s="316">
        <f>896/4185.5</f>
        <v>0.21407239278461354</v>
      </c>
      <c r="K20" s="230">
        <f>11/4.1855</f>
        <v>2.628120893561104</v>
      </c>
      <c r="L20" s="252">
        <f>59.15/(4.1855*200.59)*1000</f>
        <v>70.45277832853957</v>
      </c>
      <c r="M20" s="250">
        <f>8.2*co</f>
        <v>7.05292079799307</v>
      </c>
      <c r="N20" s="238">
        <v>95.8</v>
      </c>
      <c r="O20" s="238">
        <v>0.89</v>
      </c>
      <c r="P20" s="377" t="s">
        <v>914</v>
      </c>
      <c r="Q20" s="261">
        <v>0.99997</v>
      </c>
      <c r="R20" s="268"/>
      <c r="S20" s="212" t="s">
        <v>361</v>
      </c>
      <c r="U20" s="54"/>
      <c r="V20" s="54"/>
      <c r="W20" s="54"/>
      <c r="X20" s="54"/>
      <c r="Y20" s="54"/>
      <c r="Z20" s="54"/>
      <c r="AA20" s="54"/>
    </row>
    <row r="21" spans="1:27" ht="15">
      <c r="A21" s="207" t="s">
        <v>362</v>
      </c>
      <c r="B21" s="204" t="s">
        <v>140</v>
      </c>
      <c r="C21" s="254">
        <v>8.907</v>
      </c>
      <c r="D21" s="255">
        <v>58.71</v>
      </c>
      <c r="E21" s="219" t="s">
        <v>375</v>
      </c>
      <c r="F21" s="219" t="s">
        <v>7</v>
      </c>
      <c r="G21" s="222">
        <v>12.8</v>
      </c>
      <c r="H21" s="225">
        <v>1455</v>
      </c>
      <c r="I21" s="225">
        <v>2797</v>
      </c>
      <c r="J21" s="316">
        <f>444/4185.5</f>
        <v>0.10608051606737547</v>
      </c>
      <c r="K21" s="230">
        <f>300/4.1855</f>
        <v>71.67602436984828</v>
      </c>
      <c r="L21" s="252">
        <f>371.83/(58.71*4.1855)*1000</f>
        <v>1513.1605144745747</v>
      </c>
      <c r="M21" s="250">
        <f>91*co</f>
        <v>78.27021861187431</v>
      </c>
      <c r="N21" s="238">
        <v>7</v>
      </c>
      <c r="O21" s="238">
        <v>5.9</v>
      </c>
      <c r="P21" s="377" t="s">
        <v>916</v>
      </c>
      <c r="Q21" s="265" t="s">
        <v>495</v>
      </c>
      <c r="R21" s="268">
        <v>200</v>
      </c>
      <c r="S21" s="207" t="s">
        <v>362</v>
      </c>
      <c r="U21" s="323" t="s">
        <v>644</v>
      </c>
      <c r="V21" s="323"/>
      <c r="W21" s="323"/>
      <c r="X21" s="324" t="s">
        <v>643</v>
      </c>
      <c r="Y21" s="323"/>
      <c r="Z21" s="54"/>
      <c r="AA21" s="54"/>
    </row>
    <row r="22" spans="1:27" ht="12.75">
      <c r="A22" s="207" t="s">
        <v>363</v>
      </c>
      <c r="B22" s="204" t="s">
        <v>234</v>
      </c>
      <c r="C22" s="254">
        <v>19.281</v>
      </c>
      <c r="D22" s="255">
        <v>196.967</v>
      </c>
      <c r="E22" s="219" t="s">
        <v>375</v>
      </c>
      <c r="F22" s="219" t="s">
        <v>7</v>
      </c>
      <c r="G22" s="222">
        <v>14</v>
      </c>
      <c r="H22" s="225">
        <v>1064</v>
      </c>
      <c r="I22" s="225">
        <v>2657</v>
      </c>
      <c r="J22" s="316">
        <f>130/4185.5</f>
        <v>0.03105961056026759</v>
      </c>
      <c r="K22" s="230">
        <f>63/4.1855</f>
        <v>15.05196511766814</v>
      </c>
      <c r="L22" s="252">
        <f>324.43/(196.967*4.1855)*1000</f>
        <v>393.5321244389479</v>
      </c>
      <c r="M22" s="250">
        <f>310*co</f>
        <v>266.63481065583557</v>
      </c>
      <c r="N22" s="238">
        <v>2.3</v>
      </c>
      <c r="O22" s="238">
        <v>3.7</v>
      </c>
      <c r="P22" s="261" t="s">
        <v>503</v>
      </c>
      <c r="Q22" s="261"/>
      <c r="R22" s="268">
        <v>78</v>
      </c>
      <c r="S22" s="207" t="s">
        <v>363</v>
      </c>
      <c r="U22" s="54"/>
      <c r="V22" s="54"/>
      <c r="W22" s="54"/>
      <c r="X22" s="54"/>
      <c r="Y22" s="54"/>
      <c r="Z22" s="54"/>
      <c r="AA22" s="54"/>
    </row>
    <row r="23" spans="1:27" ht="15">
      <c r="A23" s="243" t="s">
        <v>701</v>
      </c>
      <c r="B23" s="204" t="s">
        <v>141</v>
      </c>
      <c r="C23" s="254">
        <v>8.4</v>
      </c>
      <c r="D23" s="255" t="s">
        <v>702</v>
      </c>
      <c r="E23" s="219"/>
      <c r="F23" s="219"/>
      <c r="G23" s="311" t="s">
        <v>929</v>
      </c>
      <c r="H23" s="225">
        <v>996</v>
      </c>
      <c r="I23" s="96" t="s">
        <v>7</v>
      </c>
      <c r="J23" s="316">
        <v>0.09</v>
      </c>
      <c r="K23" s="230" t="s">
        <v>7</v>
      </c>
      <c r="L23" s="253" t="s">
        <v>7</v>
      </c>
      <c r="M23" s="390" t="s">
        <v>931</v>
      </c>
      <c r="N23" s="238">
        <v>4.7</v>
      </c>
      <c r="O23" s="238" t="s">
        <v>7</v>
      </c>
      <c r="P23" s="261"/>
      <c r="Q23" s="261"/>
      <c r="R23" s="389" t="s">
        <v>930</v>
      </c>
      <c r="S23" s="243" t="s">
        <v>701</v>
      </c>
      <c r="U23" s="323" t="s">
        <v>646</v>
      </c>
      <c r="V23" s="323"/>
      <c r="W23" s="323"/>
      <c r="X23" s="324" t="s">
        <v>645</v>
      </c>
      <c r="Y23" s="323"/>
      <c r="Z23" s="327" t="s">
        <v>649</v>
      </c>
      <c r="AA23" s="55"/>
    </row>
    <row r="24" spans="1:27" ht="12.75">
      <c r="A24" s="207" t="s">
        <v>364</v>
      </c>
      <c r="B24" s="204" t="s">
        <v>237</v>
      </c>
      <c r="C24" s="254">
        <v>11.343</v>
      </c>
      <c r="D24" s="255">
        <v>207.2</v>
      </c>
      <c r="E24" s="219" t="s">
        <v>375</v>
      </c>
      <c r="F24" s="219" t="s">
        <v>394</v>
      </c>
      <c r="G24" s="222">
        <v>28.9</v>
      </c>
      <c r="H24" s="225">
        <v>327</v>
      </c>
      <c r="I24" s="225">
        <v>1750</v>
      </c>
      <c r="J24" s="316">
        <f>130/4185.5</f>
        <v>0.03105961056026759</v>
      </c>
      <c r="K24" s="231">
        <f>23/4.1855</f>
        <v>5.495161868355035</v>
      </c>
      <c r="L24" s="252">
        <f>179.41/(4.18*207.2)*1000</f>
        <v>207.14793741109534</v>
      </c>
      <c r="M24" s="250">
        <f>35*co</f>
        <v>30.103930235336275</v>
      </c>
      <c r="N24" s="238">
        <v>20.7</v>
      </c>
      <c r="O24" s="238">
        <v>3.9</v>
      </c>
      <c r="P24" s="261"/>
      <c r="Q24" s="261"/>
      <c r="R24" s="268">
        <v>16</v>
      </c>
      <c r="S24" s="207" t="s">
        <v>364</v>
      </c>
      <c r="U24" s="54"/>
      <c r="V24" s="54"/>
      <c r="W24" s="54"/>
      <c r="X24" s="54"/>
      <c r="Y24" s="54"/>
      <c r="Z24" s="54"/>
      <c r="AA24" s="54"/>
    </row>
    <row r="25" spans="1:27" ht="15">
      <c r="A25" s="207" t="s">
        <v>365</v>
      </c>
      <c r="B25" s="204" t="s">
        <v>233</v>
      </c>
      <c r="C25" s="254">
        <v>21.45</v>
      </c>
      <c r="D25" s="255">
        <v>195.09</v>
      </c>
      <c r="E25" s="219" t="s">
        <v>375</v>
      </c>
      <c r="F25" s="219" t="s">
        <v>7</v>
      </c>
      <c r="G25" s="222">
        <v>8.9</v>
      </c>
      <c r="H25" s="225">
        <v>1772</v>
      </c>
      <c r="I25" s="225">
        <v>3827</v>
      </c>
      <c r="J25" s="316">
        <f>134/4185.5</f>
        <v>0.0320152908851989</v>
      </c>
      <c r="K25" s="230">
        <f>101/4.1855</f>
        <v>24.130928204515588</v>
      </c>
      <c r="L25" s="252">
        <f>510.45/(4.1855*195.09)*1000</f>
        <v>625.1307369178166</v>
      </c>
      <c r="M25" s="250">
        <f>73*co</f>
        <v>62.788197347987094</v>
      </c>
      <c r="N25" s="238">
        <v>10.6</v>
      </c>
      <c r="O25" s="238">
        <v>3.6</v>
      </c>
      <c r="P25" s="261" t="s">
        <v>913</v>
      </c>
      <c r="Q25" s="261">
        <v>1.00033</v>
      </c>
      <c r="R25" s="268">
        <v>168</v>
      </c>
      <c r="S25" s="207" t="s">
        <v>365</v>
      </c>
      <c r="U25" s="323" t="s">
        <v>647</v>
      </c>
      <c r="V25" s="323"/>
      <c r="W25" s="323"/>
      <c r="X25" s="324" t="s">
        <v>648</v>
      </c>
      <c r="Y25" s="323"/>
      <c r="Z25" s="327" t="s">
        <v>650</v>
      </c>
      <c r="AA25" s="55"/>
    </row>
    <row r="26" spans="1:27" ht="12.75">
      <c r="A26" s="207" t="s">
        <v>372</v>
      </c>
      <c r="B26" s="204" t="s">
        <v>52</v>
      </c>
      <c r="C26" s="254">
        <v>0.862</v>
      </c>
      <c r="D26" s="255">
        <v>39.1</v>
      </c>
      <c r="E26" s="219" t="s">
        <v>376</v>
      </c>
      <c r="F26" s="219" t="s">
        <v>395</v>
      </c>
      <c r="G26" s="223">
        <v>83</v>
      </c>
      <c r="H26" s="225">
        <v>63</v>
      </c>
      <c r="I26" s="225">
        <v>760</v>
      </c>
      <c r="J26" s="316">
        <f>753/4185.5</f>
        <v>0.1799068211683192</v>
      </c>
      <c r="K26" s="230">
        <f>59/4.1855</f>
        <v>14.096284792736828</v>
      </c>
      <c r="L26" s="252">
        <f>77.53/(39.1*4.1855)*1000</f>
        <v>473.74613549823846</v>
      </c>
      <c r="M26" s="250">
        <v>86.01</v>
      </c>
      <c r="N26" s="238">
        <v>6.2</v>
      </c>
      <c r="O26" s="238" t="s">
        <v>466</v>
      </c>
      <c r="P26" s="261"/>
      <c r="Q26" s="261"/>
      <c r="R26" s="268" t="s">
        <v>466</v>
      </c>
      <c r="S26" s="207" t="s">
        <v>372</v>
      </c>
      <c r="U26" s="54"/>
      <c r="V26" s="54"/>
      <c r="W26" s="54"/>
      <c r="X26" s="54"/>
      <c r="Y26" s="54"/>
      <c r="Z26" s="54"/>
      <c r="AA26" s="54"/>
    </row>
    <row r="27" spans="1:27" ht="14.25">
      <c r="A27" s="207" t="s">
        <v>366</v>
      </c>
      <c r="B27" s="204" t="s">
        <v>141</v>
      </c>
      <c r="C27" s="254">
        <v>8.933</v>
      </c>
      <c r="D27" s="255">
        <v>63.55</v>
      </c>
      <c r="E27" s="219" t="s">
        <v>375</v>
      </c>
      <c r="F27" s="219" t="s">
        <v>397</v>
      </c>
      <c r="G27" s="222">
        <v>16.7</v>
      </c>
      <c r="H27" s="225">
        <v>1078</v>
      </c>
      <c r="I27" s="225">
        <v>2580</v>
      </c>
      <c r="J27" s="316">
        <f>385/4185.5</f>
        <v>0.09198423127463863</v>
      </c>
      <c r="K27" s="230">
        <f>205/4.1855</f>
        <v>48.978616652729656</v>
      </c>
      <c r="L27" s="252">
        <f>304.6/(4.1855*63.55)*1000</f>
        <v>1145.1621832182423</v>
      </c>
      <c r="M27" s="251">
        <f>390*co</f>
        <v>335.44379405088995</v>
      </c>
      <c r="N27" s="239">
        <v>1.68</v>
      </c>
      <c r="O27" s="238">
        <v>3.9</v>
      </c>
      <c r="P27" s="377" t="s">
        <v>914</v>
      </c>
      <c r="Q27" s="261">
        <v>0.99999</v>
      </c>
      <c r="R27" s="268">
        <v>130</v>
      </c>
      <c r="S27" s="207" t="s">
        <v>366</v>
      </c>
      <c r="U27" s="323" t="s">
        <v>651</v>
      </c>
      <c r="V27" s="323"/>
      <c r="W27" s="323"/>
      <c r="X27" s="324" t="s">
        <v>659</v>
      </c>
      <c r="Y27" s="323"/>
      <c r="Z27" s="54"/>
      <c r="AA27" s="54"/>
    </row>
    <row r="28" spans="1:27" ht="12.75">
      <c r="A28" s="216" t="s">
        <v>381</v>
      </c>
      <c r="B28" s="204" t="s">
        <v>95</v>
      </c>
      <c r="C28" s="254">
        <v>2.329</v>
      </c>
      <c r="D28" s="255">
        <v>28.08</v>
      </c>
      <c r="E28" s="218"/>
      <c r="F28" s="219" t="s">
        <v>396</v>
      </c>
      <c r="G28" s="222">
        <v>4.2</v>
      </c>
      <c r="H28" s="225">
        <v>1410</v>
      </c>
      <c r="I28" s="225">
        <v>2400</v>
      </c>
      <c r="J28" s="334">
        <f>20/(4.1855*28.08)</f>
        <v>0.1701709980290795</v>
      </c>
      <c r="K28" s="228">
        <f>46440/(4.1855*28.08)</f>
        <v>395.1370574235226</v>
      </c>
      <c r="L28" s="253" t="s">
        <v>7</v>
      </c>
      <c r="M28" s="250" t="s">
        <v>7</v>
      </c>
      <c r="N28" s="238" t="s">
        <v>412</v>
      </c>
      <c r="O28" s="238">
        <v>-70</v>
      </c>
      <c r="P28" s="261">
        <v>12</v>
      </c>
      <c r="Q28" s="261"/>
      <c r="R28" s="268"/>
      <c r="S28" s="216" t="s">
        <v>381</v>
      </c>
      <c r="U28" s="54"/>
      <c r="V28" s="54"/>
      <c r="W28" s="54"/>
      <c r="X28" s="54"/>
      <c r="Y28" s="54"/>
      <c r="Z28" s="54"/>
      <c r="AA28" s="54"/>
    </row>
    <row r="29" spans="1:27" ht="14.25">
      <c r="A29" s="207" t="s">
        <v>367</v>
      </c>
      <c r="B29" s="204" t="s">
        <v>91</v>
      </c>
      <c r="C29" s="254">
        <v>0.966</v>
      </c>
      <c r="D29" s="255">
        <v>22.99</v>
      </c>
      <c r="E29" s="219" t="s">
        <v>376</v>
      </c>
      <c r="F29" s="219" t="s">
        <v>398</v>
      </c>
      <c r="G29" s="222">
        <v>69.6</v>
      </c>
      <c r="H29" s="225">
        <v>98</v>
      </c>
      <c r="I29" s="225">
        <v>887</v>
      </c>
      <c r="J29" s="316">
        <f>1226/4185.5</f>
        <v>0.29291601959144664</v>
      </c>
      <c r="K29" s="230">
        <f>113/4.1855</f>
        <v>26.997969179309518</v>
      </c>
      <c r="L29" s="252">
        <f>89040/(4.1855*22.99)</f>
        <v>925.334668680773</v>
      </c>
      <c r="M29" s="250">
        <f>130*co</f>
        <v>111.81459801696332</v>
      </c>
      <c r="N29" s="238">
        <v>4.7</v>
      </c>
      <c r="O29" s="238">
        <v>5</v>
      </c>
      <c r="P29" s="377" t="s">
        <v>917</v>
      </c>
      <c r="Q29" s="261">
        <v>1.000008</v>
      </c>
      <c r="R29" s="268" t="s">
        <v>466</v>
      </c>
      <c r="S29" s="207" t="s">
        <v>367</v>
      </c>
      <c r="U29" s="323" t="s">
        <v>923</v>
      </c>
      <c r="V29" s="323"/>
      <c r="W29" s="323"/>
      <c r="X29" s="323"/>
      <c r="Y29" s="323"/>
      <c r="Z29" s="323" t="s">
        <v>669</v>
      </c>
      <c r="AA29" s="323"/>
    </row>
    <row r="30" spans="1:27" ht="12.75">
      <c r="A30" s="207" t="s">
        <v>368</v>
      </c>
      <c r="B30" s="204" t="s">
        <v>373</v>
      </c>
      <c r="C30" s="254">
        <v>7.285</v>
      </c>
      <c r="D30" s="255">
        <v>118.69</v>
      </c>
      <c r="E30" s="219" t="s">
        <v>379</v>
      </c>
      <c r="F30" s="219" t="s">
        <v>399</v>
      </c>
      <c r="G30" s="222">
        <v>21.2</v>
      </c>
      <c r="H30" s="225">
        <v>232</v>
      </c>
      <c r="I30" s="225">
        <v>2627</v>
      </c>
      <c r="J30" s="316">
        <f>226/4185.5</f>
        <v>0.053995938358619044</v>
      </c>
      <c r="K30" s="230">
        <f>61/4.1855</f>
        <v>14.574124955202484</v>
      </c>
      <c r="L30" s="252">
        <f>290370/(4.1855*118.69)</f>
        <v>584.5077427548754</v>
      </c>
      <c r="M30" s="250">
        <f>64*co</f>
        <v>55.04718671604348</v>
      </c>
      <c r="N30" s="238">
        <v>11.5</v>
      </c>
      <c r="O30" s="238">
        <v>4.2</v>
      </c>
      <c r="P30" s="261"/>
      <c r="Q30" s="261"/>
      <c r="R30" s="268">
        <v>50</v>
      </c>
      <c r="S30" s="207" t="s">
        <v>368</v>
      </c>
      <c r="U30" s="54"/>
      <c r="V30" s="54"/>
      <c r="W30" s="54"/>
      <c r="X30" s="54"/>
      <c r="Y30" s="54"/>
      <c r="Z30" s="54"/>
      <c r="AA30" s="54"/>
    </row>
    <row r="31" spans="1:27" ht="15">
      <c r="A31" s="207" t="s">
        <v>371</v>
      </c>
      <c r="B31" s="204" t="s">
        <v>229</v>
      </c>
      <c r="C31" s="254">
        <v>19.254</v>
      </c>
      <c r="D31" s="255">
        <v>183.85</v>
      </c>
      <c r="E31" s="219" t="s">
        <v>376</v>
      </c>
      <c r="F31" s="219" t="s">
        <v>7</v>
      </c>
      <c r="G31" s="224">
        <v>4.5</v>
      </c>
      <c r="H31" s="227">
        <v>3387</v>
      </c>
      <c r="I31" s="227">
        <v>5527</v>
      </c>
      <c r="J31" s="316">
        <f>134/4185.5</f>
        <v>0.0320152908851989</v>
      </c>
      <c r="K31" s="230">
        <f>192/4.1855</f>
        <v>45.8726555967029</v>
      </c>
      <c r="L31" s="252">
        <f>799140/(4.1855*183.85)</f>
        <v>1038.5128839619356</v>
      </c>
      <c r="M31" s="250">
        <f>180*co</f>
        <v>154.82021263887228</v>
      </c>
      <c r="N31" s="238">
        <v>5.4</v>
      </c>
      <c r="O31" s="238">
        <v>4.4</v>
      </c>
      <c r="P31" s="261"/>
      <c r="Q31" s="261"/>
      <c r="R31" s="268">
        <v>411</v>
      </c>
      <c r="S31" s="207" t="s">
        <v>371</v>
      </c>
      <c r="U31" s="323" t="s">
        <v>652</v>
      </c>
      <c r="V31" s="323"/>
      <c r="W31" s="323"/>
      <c r="X31" s="324" t="s">
        <v>922</v>
      </c>
      <c r="Y31" s="323"/>
      <c r="Z31" s="54"/>
      <c r="AA31" s="54"/>
    </row>
    <row r="32" spans="1:27" ht="12.75">
      <c r="A32" s="207" t="s">
        <v>369</v>
      </c>
      <c r="B32" s="204" t="s">
        <v>306</v>
      </c>
      <c r="C32" s="254">
        <v>19.05</v>
      </c>
      <c r="D32" s="255">
        <v>238.029</v>
      </c>
      <c r="E32" s="219" t="s">
        <v>376</v>
      </c>
      <c r="F32" s="219" t="s">
        <v>7</v>
      </c>
      <c r="G32" s="222">
        <v>13.5</v>
      </c>
      <c r="H32" s="225">
        <v>1135</v>
      </c>
      <c r="I32" s="225">
        <v>4027</v>
      </c>
      <c r="J32" s="409">
        <f>117/4185.5</f>
        <v>0.02795364950424083</v>
      </c>
      <c r="K32" s="230">
        <f>65/4.1855</f>
        <v>15.529805280133795</v>
      </c>
      <c r="L32" s="252">
        <f>422580/(238.029*4.1855)</f>
        <v>424.16196315309605</v>
      </c>
      <c r="M32" s="250">
        <f>25*co</f>
        <v>21.502807310954484</v>
      </c>
      <c r="N32" s="238">
        <v>30</v>
      </c>
      <c r="O32" s="238">
        <v>2.4</v>
      </c>
      <c r="P32" s="261"/>
      <c r="Q32" s="261"/>
      <c r="R32" s="268">
        <v>166</v>
      </c>
      <c r="S32" s="207" t="s">
        <v>369</v>
      </c>
      <c r="U32" s="54"/>
      <c r="V32" s="54"/>
      <c r="W32" s="54"/>
      <c r="X32" s="54"/>
      <c r="Y32" s="54"/>
      <c r="Z32" s="54"/>
      <c r="AA32" s="54"/>
    </row>
    <row r="33" spans="1:27" ht="15">
      <c r="A33" s="207" t="s">
        <v>370</v>
      </c>
      <c r="B33" s="204" t="s">
        <v>142</v>
      </c>
      <c r="C33" s="254">
        <v>7.135</v>
      </c>
      <c r="D33" s="255">
        <v>65.38</v>
      </c>
      <c r="E33" s="219" t="s">
        <v>377</v>
      </c>
      <c r="F33" s="219" t="s">
        <v>400</v>
      </c>
      <c r="G33" s="222">
        <v>26.2</v>
      </c>
      <c r="H33" s="225">
        <v>420</v>
      </c>
      <c r="I33" s="225">
        <v>907</v>
      </c>
      <c r="J33" s="316">
        <f>389/4185.5</f>
        <v>0.09293991159956995</v>
      </c>
      <c r="K33" s="230">
        <f>113/4.1855</f>
        <v>26.997969179309518</v>
      </c>
      <c r="L33" s="252">
        <f>115310/(65.38*4.1855)</f>
        <v>421.38076731351106</v>
      </c>
      <c r="M33" s="250">
        <f>112*co</f>
        <v>96.33257675307608</v>
      </c>
      <c r="N33" s="238">
        <v>5.8</v>
      </c>
      <c r="O33" s="238">
        <v>3.7</v>
      </c>
      <c r="P33" s="261"/>
      <c r="Q33" s="261"/>
      <c r="R33" s="268">
        <v>108</v>
      </c>
      <c r="S33" s="207" t="s">
        <v>370</v>
      </c>
      <c r="U33" s="323" t="s">
        <v>653</v>
      </c>
      <c r="V33" s="323"/>
      <c r="W33" s="323"/>
      <c r="X33" s="324" t="s">
        <v>654</v>
      </c>
      <c r="Y33" s="323"/>
      <c r="Z33" s="54"/>
      <c r="AA33" s="54"/>
    </row>
    <row r="34" spans="1:27" ht="12.75">
      <c r="A34" s="384" t="s">
        <v>520</v>
      </c>
      <c r="B34" s="217"/>
      <c r="C34" s="385"/>
      <c r="D34" s="218"/>
      <c r="E34" s="218"/>
      <c r="F34" s="384"/>
      <c r="G34" s="218"/>
      <c r="H34" s="384"/>
      <c r="I34" s="384"/>
      <c r="J34" s="386" t="s">
        <v>920</v>
      </c>
      <c r="K34" s="96"/>
      <c r="L34" s="96"/>
      <c r="M34" s="317" t="s">
        <v>921</v>
      </c>
      <c r="N34" s="317"/>
      <c r="O34" s="209"/>
      <c r="U34" s="54"/>
      <c r="V34" s="54"/>
      <c r="W34" s="54"/>
      <c r="X34" s="54"/>
      <c r="Y34" s="54"/>
      <c r="Z34" s="54"/>
      <c r="AA34" s="54"/>
    </row>
    <row r="35" spans="5:27" ht="15">
      <c r="E35" s="219" t="s">
        <v>986</v>
      </c>
      <c r="F35" s="406" t="s">
        <v>987</v>
      </c>
      <c r="G35" s="219" t="s">
        <v>984</v>
      </c>
      <c r="J35" s="205"/>
      <c r="K35" s="205" t="s">
        <v>7</v>
      </c>
      <c r="M35" s="206"/>
      <c r="N35" s="203"/>
      <c r="P35" s="203"/>
      <c r="Q35" s="203"/>
      <c r="U35" s="323" t="s">
        <v>656</v>
      </c>
      <c r="V35" s="323"/>
      <c r="W35" s="323"/>
      <c r="X35" s="323"/>
      <c r="Y35" s="324" t="s">
        <v>655</v>
      </c>
      <c r="Z35" s="323"/>
      <c r="AA35" s="323"/>
    </row>
    <row r="36" spans="1:27" ht="12.75">
      <c r="A36" s="213" t="s">
        <v>426</v>
      </c>
      <c r="C36" s="189" t="s">
        <v>446</v>
      </c>
      <c r="D36" s="257" t="s">
        <v>446</v>
      </c>
      <c r="E36" s="208" t="s">
        <v>680</v>
      </c>
      <c r="F36" s="299" t="s">
        <v>569</v>
      </c>
      <c r="G36" s="211" t="s">
        <v>512</v>
      </c>
      <c r="H36" s="271" t="s">
        <v>514</v>
      </c>
      <c r="I36" s="216" t="s">
        <v>429</v>
      </c>
      <c r="J36" s="214" t="s">
        <v>436</v>
      </c>
      <c r="K36" s="240" t="s">
        <v>433</v>
      </c>
      <c r="L36" s="202" t="s">
        <v>616</v>
      </c>
      <c r="M36" s="233" t="s">
        <v>674</v>
      </c>
      <c r="N36" s="331" t="s">
        <v>675</v>
      </c>
      <c r="O36" s="332" t="s">
        <v>845</v>
      </c>
      <c r="P36" s="258" t="s">
        <v>982</v>
      </c>
      <c r="Q36" s="133"/>
      <c r="R36" s="285" t="s">
        <v>464</v>
      </c>
      <c r="S36" t="s">
        <v>7</v>
      </c>
      <c r="U36" s="54"/>
      <c r="V36" s="54"/>
      <c r="W36" s="54"/>
      <c r="X36" s="54"/>
      <c r="Y36" s="54"/>
      <c r="Z36" s="54"/>
      <c r="AA36" s="54"/>
    </row>
    <row r="37" spans="1:27" ht="15">
      <c r="A37" s="213" t="s">
        <v>427</v>
      </c>
      <c r="C37" s="189" t="s">
        <v>490</v>
      </c>
      <c r="D37" s="257" t="s">
        <v>504</v>
      </c>
      <c r="E37" s="208" t="s">
        <v>758</v>
      </c>
      <c r="F37" s="299" t="s">
        <v>782</v>
      </c>
      <c r="G37" s="211" t="s">
        <v>519</v>
      </c>
      <c r="H37" s="271" t="s">
        <v>928</v>
      </c>
      <c r="I37" s="216" t="s">
        <v>430</v>
      </c>
      <c r="J37" s="202" t="s">
        <v>405</v>
      </c>
      <c r="K37" s="202" t="s">
        <v>612</v>
      </c>
      <c r="L37" s="202" t="s">
        <v>613</v>
      </c>
      <c r="M37" s="233" t="s">
        <v>463</v>
      </c>
      <c r="N37" s="232" t="s">
        <v>676</v>
      </c>
      <c r="O37" s="332" t="s">
        <v>847</v>
      </c>
      <c r="P37" s="258" t="s">
        <v>499</v>
      </c>
      <c r="Q37" s="133"/>
      <c r="R37" s="286" t="s">
        <v>461</v>
      </c>
      <c r="U37" s="323" t="s">
        <v>657</v>
      </c>
      <c r="V37" s="323"/>
      <c r="W37" s="323"/>
      <c r="X37" s="323"/>
      <c r="Y37" s="323" t="s">
        <v>658</v>
      </c>
      <c r="Z37" s="323"/>
      <c r="AA37" s="54"/>
    </row>
    <row r="38" spans="1:29" ht="15.75">
      <c r="A38" s="209" t="s">
        <v>990</v>
      </c>
      <c r="B38" s="209" t="s">
        <v>988</v>
      </c>
      <c r="F38" s="407" t="s">
        <v>989</v>
      </c>
      <c r="G38" t="s">
        <v>954</v>
      </c>
      <c r="I38" s="402" t="s">
        <v>955</v>
      </c>
      <c r="N38" s="235" t="s">
        <v>415</v>
      </c>
      <c r="U38" s="54"/>
      <c r="V38" s="54"/>
      <c r="W38" s="54"/>
      <c r="X38" s="54"/>
      <c r="Y38" s="54"/>
      <c r="Z38" s="54"/>
      <c r="AA38" s="54"/>
      <c r="AC38" t="s">
        <v>7</v>
      </c>
    </row>
    <row r="39" spans="1:27" ht="14.25">
      <c r="A39" s="277" t="s">
        <v>541</v>
      </c>
      <c r="B39" s="209" t="s">
        <v>587</v>
      </c>
      <c r="C39" s="278">
        <v>0.791</v>
      </c>
      <c r="D39" s="279">
        <v>58.08</v>
      </c>
      <c r="E39" s="347">
        <f>23.54*760/101.325</f>
        <v>176.56452010856154</v>
      </c>
      <c r="F39" s="305" t="s">
        <v>603</v>
      </c>
      <c r="G39" s="241">
        <v>1430</v>
      </c>
      <c r="H39" s="317">
        <v>-95.3</v>
      </c>
      <c r="I39" s="317"/>
      <c r="J39" s="334">
        <f>2.18/4.18</f>
        <v>0.521531100478469</v>
      </c>
      <c r="K39" s="318">
        <f>97000/4185.5</f>
        <v>23.17524787958428</v>
      </c>
      <c r="L39" s="252">
        <f>525/4185.5*1000</f>
        <v>125.43304264723452</v>
      </c>
      <c r="M39" s="250">
        <f>0.19/0.56</f>
        <v>0.33928571428571425</v>
      </c>
      <c r="N39" s="59"/>
      <c r="O39" s="278"/>
      <c r="P39" s="132"/>
      <c r="Q39" s="132"/>
      <c r="R39" s="290"/>
      <c r="S39" s="277" t="s">
        <v>541</v>
      </c>
      <c r="U39" s="323" t="s">
        <v>677</v>
      </c>
      <c r="V39" s="323"/>
      <c r="W39" s="323"/>
      <c r="X39" s="324" t="s">
        <v>660</v>
      </c>
      <c r="Y39" s="323"/>
      <c r="Z39" s="54"/>
      <c r="AA39" s="54"/>
    </row>
    <row r="40" spans="1:27" ht="12.75">
      <c r="A40" s="277" t="s">
        <v>562</v>
      </c>
      <c r="C40" s="301" t="s">
        <v>593</v>
      </c>
      <c r="D40" s="2"/>
      <c r="E40" s="208" t="s">
        <v>7</v>
      </c>
      <c r="F40" s="303"/>
      <c r="G40" s="241"/>
      <c r="H40" s="96"/>
      <c r="I40" s="96"/>
      <c r="J40" s="202" t="s">
        <v>7</v>
      </c>
      <c r="K40" s="202" t="s">
        <v>7</v>
      </c>
      <c r="L40" s="202" t="s">
        <v>7</v>
      </c>
      <c r="M40" s="59"/>
      <c r="N40" s="59"/>
      <c r="O40" s="278"/>
      <c r="P40" s="132"/>
      <c r="Q40" s="132"/>
      <c r="R40" s="288">
        <f>33000/4185.5</f>
        <v>7.884362680683312</v>
      </c>
      <c r="S40" s="277" t="s">
        <v>562</v>
      </c>
      <c r="U40" s="54"/>
      <c r="V40" s="54"/>
      <c r="W40" s="54"/>
      <c r="X40" s="54"/>
      <c r="Y40" s="54"/>
      <c r="Z40" s="54"/>
      <c r="AA40" s="54"/>
    </row>
    <row r="41" spans="1:27" ht="15">
      <c r="A41" s="215" t="s">
        <v>419</v>
      </c>
      <c r="B41" s="277" t="s">
        <v>604</v>
      </c>
      <c r="C41" s="314" t="s">
        <v>605</v>
      </c>
      <c r="D41" s="257">
        <v>18.02</v>
      </c>
      <c r="E41" s="346">
        <f>3.17*760/101.325</f>
        <v>23.77695534172218</v>
      </c>
      <c r="F41" s="312" t="s">
        <v>610</v>
      </c>
      <c r="G41" s="211">
        <v>210</v>
      </c>
      <c r="H41" s="216">
        <v>0</v>
      </c>
      <c r="I41" s="216">
        <v>100</v>
      </c>
      <c r="J41" s="310">
        <v>1</v>
      </c>
      <c r="K41" s="306">
        <f>334.4/4.1855</f>
        <v>79.89487516425754</v>
      </c>
      <c r="L41" s="401" t="s">
        <v>953</v>
      </c>
      <c r="M41" s="309">
        <f>0.56/4185.5*3600</f>
        <v>0.4816628837653805</v>
      </c>
      <c r="N41" s="375" t="s">
        <v>901</v>
      </c>
      <c r="O41" s="332">
        <v>1.333</v>
      </c>
      <c r="P41" s="404" t="s">
        <v>483</v>
      </c>
      <c r="Q41" s="376" t="s">
        <v>911</v>
      </c>
      <c r="R41" s="290"/>
      <c r="S41" s="215" t="s">
        <v>419</v>
      </c>
      <c r="U41" s="323" t="s">
        <v>927</v>
      </c>
      <c r="V41" s="55"/>
      <c r="W41" s="54"/>
      <c r="X41" s="54"/>
      <c r="Y41" s="388" t="s">
        <v>926</v>
      </c>
      <c r="Z41" s="54"/>
      <c r="AA41" s="54"/>
    </row>
    <row r="42" spans="1:27" ht="12.75">
      <c r="A42" s="246" t="s">
        <v>614</v>
      </c>
      <c r="B42" s="203" t="s">
        <v>615</v>
      </c>
      <c r="C42" s="254">
        <v>1.107</v>
      </c>
      <c r="D42" s="257">
        <v>20.03</v>
      </c>
      <c r="E42" s="208"/>
      <c r="F42" s="312"/>
      <c r="G42" s="211"/>
      <c r="H42" s="225">
        <v>3.8</v>
      </c>
      <c r="I42" s="225">
        <v>101.4</v>
      </c>
      <c r="J42" s="315">
        <f>4.21/4.18</f>
        <v>1.007177033492823</v>
      </c>
      <c r="K42" s="308">
        <f>317/4.1855</f>
        <v>75.73766575080636</v>
      </c>
      <c r="L42" s="230">
        <f>2072/4.1855</f>
        <v>495.0424083144188</v>
      </c>
      <c r="M42" s="237">
        <f>M41*0.58/0.56</f>
        <v>0.498865129614144</v>
      </c>
      <c r="N42" s="238"/>
      <c r="O42" s="278">
        <v>1.328</v>
      </c>
      <c r="P42" s="265">
        <v>79.8</v>
      </c>
      <c r="Q42" s="259"/>
      <c r="R42" s="290"/>
      <c r="S42" s="246" t="s">
        <v>614</v>
      </c>
      <c r="U42" s="54"/>
      <c r="V42" s="54"/>
      <c r="W42" s="54"/>
      <c r="X42" s="54"/>
      <c r="Y42" s="54"/>
      <c r="Z42" s="54"/>
      <c r="AA42" s="54"/>
    </row>
    <row r="43" spans="1:27" ht="12.75">
      <c r="A43" s="246" t="s">
        <v>586</v>
      </c>
      <c r="B43" s="210"/>
      <c r="C43" s="254">
        <v>1.03</v>
      </c>
      <c r="D43" s="255"/>
      <c r="E43" s="208"/>
      <c r="F43" s="302"/>
      <c r="G43" s="241"/>
      <c r="H43" s="242" t="s">
        <v>7</v>
      </c>
      <c r="I43" s="242"/>
      <c r="J43" s="316">
        <f>3.93/4.18</f>
        <v>0.9401913875598087</v>
      </c>
      <c r="K43" s="291"/>
      <c r="L43" s="202"/>
      <c r="M43" s="300"/>
      <c r="N43" s="248"/>
      <c r="O43" s="278"/>
      <c r="P43" s="293"/>
      <c r="Q43" s="262"/>
      <c r="R43" s="290"/>
      <c r="S43" s="246" t="s">
        <v>586</v>
      </c>
      <c r="U43" s="54"/>
      <c r="V43" s="54"/>
      <c r="W43" s="54"/>
      <c r="X43" s="54"/>
      <c r="Y43" s="54"/>
      <c r="Z43" s="54"/>
      <c r="AA43" s="54"/>
    </row>
    <row r="44" spans="1:27" ht="14.25">
      <c r="A44" s="246" t="s">
        <v>486</v>
      </c>
      <c r="B44" s="210" t="s">
        <v>583</v>
      </c>
      <c r="C44" s="254">
        <v>0.791</v>
      </c>
      <c r="D44" s="255">
        <v>46.07</v>
      </c>
      <c r="E44" s="347">
        <f>5.59*760/101.325</f>
        <v>41.92844806316308</v>
      </c>
      <c r="F44" s="307" t="s">
        <v>611</v>
      </c>
      <c r="G44" s="241">
        <v>1080</v>
      </c>
      <c r="H44" s="242">
        <v>-114</v>
      </c>
      <c r="I44" s="242">
        <v>78.3</v>
      </c>
      <c r="J44" s="316">
        <f>2.45/4.18</f>
        <v>0.5861244019138757</v>
      </c>
      <c r="K44" s="308">
        <f>108.9/4.18</f>
        <v>26.05263157894737</v>
      </c>
      <c r="L44" s="230">
        <f>840/4.1855</f>
        <v>200.6928682355752</v>
      </c>
      <c r="M44" s="300">
        <f>0.17/0.56</f>
        <v>0.30357142857142855</v>
      </c>
      <c r="N44" s="394" t="s">
        <v>942</v>
      </c>
      <c r="O44" s="278">
        <v>1.361</v>
      </c>
      <c r="P44" s="293">
        <v>25.7</v>
      </c>
      <c r="Q44" s="259" t="s">
        <v>7</v>
      </c>
      <c r="R44" s="288">
        <f>25300/4185.5</f>
        <v>6.044678055190539</v>
      </c>
      <c r="S44" s="246" t="s">
        <v>486</v>
      </c>
      <c r="U44" s="54" t="s">
        <v>679</v>
      </c>
      <c r="V44" s="54"/>
      <c r="W44" s="54"/>
      <c r="X44" s="54"/>
      <c r="Y44" s="54"/>
      <c r="Z44" s="54"/>
      <c r="AA44" s="54"/>
    </row>
    <row r="45" spans="1:27" ht="12.75">
      <c r="A45" s="246" t="s">
        <v>759</v>
      </c>
      <c r="B45" s="210" t="s">
        <v>760</v>
      </c>
      <c r="C45" s="254">
        <v>0.793</v>
      </c>
      <c r="D45" s="255">
        <v>32.04</v>
      </c>
      <c r="E45" s="347">
        <f>12.5*760/101.325</f>
        <v>93.75771033802121</v>
      </c>
      <c r="F45" s="307" t="s">
        <v>761</v>
      </c>
      <c r="G45" s="241">
        <v>1190</v>
      </c>
      <c r="H45" s="242">
        <v>-97.7</v>
      </c>
      <c r="I45" s="242">
        <v>64.6</v>
      </c>
      <c r="J45" s="316">
        <f>2.55/4.18</f>
        <v>0.6100478468899522</v>
      </c>
      <c r="K45" s="308">
        <f>99.2/4.18</f>
        <v>23.732057416267946</v>
      </c>
      <c r="L45" s="230">
        <f>1100/4.1855</f>
        <v>262.8120893561104</v>
      </c>
      <c r="M45" s="300"/>
      <c r="N45" s="248"/>
      <c r="O45" s="278"/>
      <c r="P45" s="293">
        <v>34</v>
      </c>
      <c r="Q45" s="132"/>
      <c r="R45" s="288"/>
      <c r="S45" s="246"/>
      <c r="U45" s="54"/>
      <c r="V45" s="54"/>
      <c r="W45" s="54"/>
      <c r="X45" s="54"/>
      <c r="Y45" s="54"/>
      <c r="Z45" s="54"/>
      <c r="AA45" s="54"/>
    </row>
    <row r="46" spans="1:27" ht="12.75">
      <c r="A46" s="247" t="s">
        <v>476</v>
      </c>
      <c r="C46" s="275" t="s">
        <v>939</v>
      </c>
      <c r="D46" s="255"/>
      <c r="E46" s="219"/>
      <c r="F46" s="304"/>
      <c r="G46" s="241">
        <v>162</v>
      </c>
      <c r="H46" s="242"/>
      <c r="I46" s="242"/>
      <c r="J46" s="410" t="s">
        <v>7</v>
      </c>
      <c r="K46" s="202" t="s">
        <v>7</v>
      </c>
      <c r="L46" s="202" t="s">
        <v>7</v>
      </c>
      <c r="M46" s="294"/>
      <c r="N46" s="295" t="s">
        <v>907</v>
      </c>
      <c r="O46" s="278"/>
      <c r="P46" s="262">
        <v>2.8</v>
      </c>
      <c r="Q46" s="132"/>
      <c r="R46" s="288"/>
      <c r="S46" s="247" t="s">
        <v>476</v>
      </c>
      <c r="U46" s="55" t="s">
        <v>678</v>
      </c>
      <c r="V46" s="55"/>
      <c r="W46" s="55"/>
      <c r="X46" s="55"/>
      <c r="Y46" s="55"/>
      <c r="Z46" s="55"/>
      <c r="AA46" s="54"/>
    </row>
    <row r="47" spans="1:27" ht="12.75">
      <c r="A47" s="247" t="s">
        <v>595</v>
      </c>
      <c r="C47" s="275" t="s">
        <v>940</v>
      </c>
      <c r="D47" s="255"/>
      <c r="E47" s="219"/>
      <c r="F47" s="304"/>
      <c r="G47" s="276" t="s">
        <v>596</v>
      </c>
      <c r="H47" s="242"/>
      <c r="I47" s="242"/>
      <c r="J47" s="316">
        <f>0.92/4.18</f>
        <v>0.22009569377990434</v>
      </c>
      <c r="K47" s="202"/>
      <c r="L47" s="202"/>
      <c r="M47" s="294"/>
      <c r="N47" s="248"/>
      <c r="O47" s="278"/>
      <c r="P47" s="262">
        <v>2.7</v>
      </c>
      <c r="Q47" s="132"/>
      <c r="R47" s="288"/>
      <c r="S47" s="247" t="s">
        <v>595</v>
      </c>
      <c r="U47" s="54"/>
      <c r="V47" s="54"/>
      <c r="W47" s="54"/>
      <c r="X47" s="54"/>
      <c r="Y47" s="54"/>
      <c r="Z47" s="54"/>
      <c r="AA47" s="54"/>
    </row>
    <row r="48" spans="1:27" ht="14.25">
      <c r="A48" s="246" t="s">
        <v>472</v>
      </c>
      <c r="B48" s="210" t="s">
        <v>550</v>
      </c>
      <c r="C48" s="254">
        <v>0.878</v>
      </c>
      <c r="D48" s="255">
        <v>78.12</v>
      </c>
      <c r="E48" s="219"/>
      <c r="F48" s="302" t="s">
        <v>609</v>
      </c>
      <c r="G48" s="241">
        <v>1210</v>
      </c>
      <c r="H48" s="242">
        <v>5.5</v>
      </c>
      <c r="I48" s="242">
        <v>80.1</v>
      </c>
      <c r="J48" s="316">
        <f>1.74/4.18</f>
        <v>0.41626794258373206</v>
      </c>
      <c r="K48" s="308">
        <f>126/4.1855</f>
        <v>30.10393023533628</v>
      </c>
      <c r="L48" s="230">
        <f>394/4.1855</f>
        <v>94.13451200573408</v>
      </c>
      <c r="M48" s="300">
        <f>0.15/0.56</f>
        <v>0.26785714285714285</v>
      </c>
      <c r="N48" s="248"/>
      <c r="O48" s="278">
        <v>1.501</v>
      </c>
      <c r="P48" s="262">
        <v>2.3</v>
      </c>
      <c r="Q48" s="132"/>
      <c r="R48" s="290"/>
      <c r="S48" s="246" t="s">
        <v>472</v>
      </c>
      <c r="U48" s="329" t="s">
        <v>665</v>
      </c>
      <c r="V48" s="329"/>
      <c r="W48" s="329"/>
      <c r="X48" s="329"/>
      <c r="Y48" s="54" t="s">
        <v>661</v>
      </c>
      <c r="Z48" s="54"/>
      <c r="AA48" s="54"/>
    </row>
    <row r="49" spans="1:27" ht="12.75">
      <c r="A49" s="246" t="s">
        <v>447</v>
      </c>
      <c r="C49" s="254">
        <v>0.729</v>
      </c>
      <c r="D49" s="255"/>
      <c r="E49" s="348"/>
      <c r="F49" s="304"/>
      <c r="G49" s="241">
        <v>9600</v>
      </c>
      <c r="H49" s="242"/>
      <c r="I49" s="242"/>
      <c r="J49" s="202" t="s">
        <v>7</v>
      </c>
      <c r="K49" s="202" t="s">
        <v>7</v>
      </c>
      <c r="L49" s="202" t="s">
        <v>7</v>
      </c>
      <c r="M49" s="59"/>
      <c r="N49" s="59"/>
      <c r="O49" s="278"/>
      <c r="P49" s="132" t="s">
        <v>7</v>
      </c>
      <c r="Q49" s="132"/>
      <c r="R49" s="288">
        <f>42700/4185.5</f>
        <v>10.20188746864174</v>
      </c>
      <c r="S49" s="246" t="s">
        <v>447</v>
      </c>
      <c r="U49" s="54"/>
      <c r="V49" s="54"/>
      <c r="W49" s="54"/>
      <c r="X49" s="54"/>
      <c r="Y49" s="54"/>
      <c r="Z49" s="54"/>
      <c r="AA49" s="54"/>
    </row>
    <row r="50" spans="1:28" ht="14.25">
      <c r="A50" s="246" t="s">
        <v>494</v>
      </c>
      <c r="B50" s="210" t="s">
        <v>551</v>
      </c>
      <c r="C50" s="254">
        <v>3.14</v>
      </c>
      <c r="D50" s="255">
        <v>159.808</v>
      </c>
      <c r="E50" s="348"/>
      <c r="F50" s="304"/>
      <c r="G50" s="241"/>
      <c r="H50" s="242"/>
      <c r="I50" s="242">
        <v>59</v>
      </c>
      <c r="J50" s="202" t="s">
        <v>7</v>
      </c>
      <c r="K50" s="202" t="s">
        <v>7</v>
      </c>
      <c r="L50" s="202" t="s">
        <v>7</v>
      </c>
      <c r="M50" s="59"/>
      <c r="N50" s="59"/>
      <c r="O50" s="278"/>
      <c r="P50" s="132"/>
      <c r="Q50" s="132"/>
      <c r="R50" s="288"/>
      <c r="S50" s="246" t="s">
        <v>494</v>
      </c>
      <c r="U50" s="54" t="s">
        <v>662</v>
      </c>
      <c r="V50" s="54"/>
      <c r="W50" s="54"/>
      <c r="X50" s="54"/>
      <c r="Y50" s="54"/>
      <c r="Z50" s="54"/>
      <c r="AA50" s="54" t="s">
        <v>663</v>
      </c>
      <c r="AB50" s="330"/>
    </row>
    <row r="51" spans="1:27" ht="12.75">
      <c r="A51" s="247" t="s">
        <v>448</v>
      </c>
      <c r="C51" s="254"/>
      <c r="D51" s="255"/>
      <c r="E51" s="348"/>
      <c r="F51" s="304"/>
      <c r="G51" s="241"/>
      <c r="H51" s="242"/>
      <c r="I51" s="242"/>
      <c r="J51" s="202" t="s">
        <v>7</v>
      </c>
      <c r="K51" s="202" t="s">
        <v>7</v>
      </c>
      <c r="L51" s="202" t="s">
        <v>7</v>
      </c>
      <c r="M51" s="59"/>
      <c r="N51" s="59"/>
      <c r="O51" s="278"/>
      <c r="P51" s="132"/>
      <c r="Q51" s="132"/>
      <c r="R51" s="289" t="s">
        <v>560</v>
      </c>
      <c r="S51" s="247" t="s">
        <v>448</v>
      </c>
      <c r="U51" s="54"/>
      <c r="V51" s="54"/>
      <c r="W51" s="54"/>
      <c r="X51" s="54"/>
      <c r="Y51" s="54"/>
      <c r="Z51" s="54"/>
      <c r="AA51" s="54"/>
    </row>
    <row r="52" spans="1:27" ht="12.75">
      <c r="A52" s="247" t="s">
        <v>474</v>
      </c>
      <c r="C52" s="275" t="s">
        <v>532</v>
      </c>
      <c r="D52" s="255"/>
      <c r="E52" s="348"/>
      <c r="F52" s="304"/>
      <c r="G52" s="241"/>
      <c r="H52" s="242"/>
      <c r="I52" s="242"/>
      <c r="J52" s="287" t="s">
        <v>531</v>
      </c>
      <c r="K52" s="202" t="s">
        <v>7</v>
      </c>
      <c r="L52" s="202" t="s">
        <v>7</v>
      </c>
      <c r="M52" s="59"/>
      <c r="N52" s="59"/>
      <c r="O52" s="278"/>
      <c r="P52" s="293" t="s">
        <v>475</v>
      </c>
      <c r="Q52" s="132"/>
      <c r="R52" s="288"/>
      <c r="S52" s="247" t="s">
        <v>474</v>
      </c>
      <c r="U52" s="54" t="s">
        <v>664</v>
      </c>
      <c r="V52" s="54"/>
      <c r="W52" s="54"/>
      <c r="X52" s="54"/>
      <c r="Y52" s="54"/>
      <c r="Z52" s="54"/>
      <c r="AA52" s="54"/>
    </row>
    <row r="53" spans="1:27" ht="14.25">
      <c r="A53" s="247" t="s">
        <v>902</v>
      </c>
      <c r="B53" s="210" t="s">
        <v>68</v>
      </c>
      <c r="C53" s="254"/>
      <c r="D53" s="255"/>
      <c r="E53" s="348"/>
      <c r="F53" s="304"/>
      <c r="G53" s="241"/>
      <c r="H53" s="242"/>
      <c r="I53" s="242"/>
      <c r="J53" s="230"/>
      <c r="K53" s="202" t="s">
        <v>7</v>
      </c>
      <c r="L53" s="202" t="s">
        <v>7</v>
      </c>
      <c r="M53" s="59"/>
      <c r="N53" s="296" t="s">
        <v>904</v>
      </c>
      <c r="O53" s="278"/>
      <c r="P53" s="262"/>
      <c r="Q53" s="132"/>
      <c r="R53" s="288">
        <f>29100/4185.5</f>
        <v>6.952574363875284</v>
      </c>
      <c r="S53" s="247" t="s">
        <v>903</v>
      </c>
      <c r="U53" s="54" t="s">
        <v>668</v>
      </c>
      <c r="V53" s="54"/>
      <c r="W53" s="54"/>
      <c r="X53" s="54"/>
      <c r="Y53" s="54"/>
      <c r="Z53" s="54"/>
      <c r="AA53" s="54"/>
    </row>
    <row r="54" spans="1:27" ht="12.75">
      <c r="A54" s="247" t="s">
        <v>572</v>
      </c>
      <c r="B54" s="210" t="s">
        <v>588</v>
      </c>
      <c r="C54" s="254">
        <v>0.685</v>
      </c>
      <c r="D54" s="255">
        <v>100.21</v>
      </c>
      <c r="E54" s="347">
        <f>4.66*760/101.325</f>
        <v>34.95287441401431</v>
      </c>
      <c r="F54" s="302" t="s">
        <v>597</v>
      </c>
      <c r="G54" s="241">
        <v>1240</v>
      </c>
      <c r="H54" s="242">
        <v>-90.6</v>
      </c>
      <c r="I54" s="242">
        <v>98.4</v>
      </c>
      <c r="J54" s="316">
        <f>2.24/4.18</f>
        <v>0.535885167464115</v>
      </c>
      <c r="K54" s="230">
        <f>141.3/4.1855</f>
        <v>33.75940747819855</v>
      </c>
      <c r="L54" s="230">
        <f>318/4.1855</f>
        <v>75.97658583203918</v>
      </c>
      <c r="M54" s="248">
        <v>0.12</v>
      </c>
      <c r="N54" s="59"/>
      <c r="O54" s="278">
        <v>1.388</v>
      </c>
      <c r="P54" s="262"/>
      <c r="Q54" s="132"/>
      <c r="R54" s="288"/>
      <c r="S54" s="247" t="s">
        <v>572</v>
      </c>
      <c r="U54" s="54"/>
      <c r="V54" s="54"/>
      <c r="W54" s="54"/>
      <c r="X54" s="54"/>
      <c r="Y54" s="54"/>
      <c r="Z54" s="54"/>
      <c r="AA54" s="54"/>
    </row>
    <row r="55" spans="1:27" ht="12.75">
      <c r="A55" s="247" t="s">
        <v>573</v>
      </c>
      <c r="B55" s="210" t="s">
        <v>589</v>
      </c>
      <c r="C55" s="254">
        <v>0.661</v>
      </c>
      <c r="D55" s="255">
        <v>86.18</v>
      </c>
      <c r="E55" s="347">
        <f>16.09*760/101.325</f>
        <v>120.68492474710091</v>
      </c>
      <c r="F55" s="302" t="s">
        <v>598</v>
      </c>
      <c r="G55" s="241">
        <v>1350</v>
      </c>
      <c r="H55" s="242">
        <v>-95.3</v>
      </c>
      <c r="I55" s="242">
        <v>68.7</v>
      </c>
      <c r="J55" s="316">
        <f>2.26/4.1855</f>
        <v>0.5399593835861903</v>
      </c>
      <c r="K55" s="230">
        <f>151.8/4.1855</f>
        <v>36.26806833114323</v>
      </c>
      <c r="L55" s="230">
        <f>332/4.1855</f>
        <v>79.32146696929877</v>
      </c>
      <c r="M55" s="249">
        <f>2.26/4.1855</f>
        <v>0.5399593835861903</v>
      </c>
      <c r="N55" s="59"/>
      <c r="O55" s="278">
        <v>1.375</v>
      </c>
      <c r="P55" s="262"/>
      <c r="Q55" s="132"/>
      <c r="R55" s="288"/>
      <c r="S55" s="247" t="s">
        <v>573</v>
      </c>
      <c r="U55" s="54"/>
      <c r="V55" s="54"/>
      <c r="W55" s="54"/>
      <c r="X55" s="54"/>
      <c r="Y55" s="54"/>
      <c r="Z55" s="54"/>
      <c r="AA55" s="54"/>
    </row>
    <row r="56" spans="1:27" ht="12.75">
      <c r="A56" s="246" t="s">
        <v>568</v>
      </c>
      <c r="B56" s="210" t="s">
        <v>590</v>
      </c>
      <c r="C56" s="254">
        <v>0.715</v>
      </c>
      <c r="D56" s="255">
        <v>74.12</v>
      </c>
      <c r="E56" s="347">
        <f>57.86*760/101.325</f>
        <v>433.9856896126326</v>
      </c>
      <c r="F56" s="302" t="s">
        <v>599</v>
      </c>
      <c r="G56" s="241">
        <v>1630</v>
      </c>
      <c r="H56" s="242">
        <v>-116.3</v>
      </c>
      <c r="I56" s="242">
        <v>34.5</v>
      </c>
      <c r="J56" s="316">
        <f>2.32/4.1855</f>
        <v>0.55429458846016</v>
      </c>
      <c r="K56" s="230">
        <f>97/4.1855</f>
        <v>23.175247879584276</v>
      </c>
      <c r="L56" s="230">
        <f>384/4.1855</f>
        <v>91.7453111934058</v>
      </c>
      <c r="M56" s="248">
        <v>0.12</v>
      </c>
      <c r="N56" s="59"/>
      <c r="O56" s="278">
        <v>1.353</v>
      </c>
      <c r="P56" s="262">
        <v>4.3</v>
      </c>
      <c r="Q56" s="132"/>
      <c r="R56" s="288"/>
      <c r="S56" s="246" t="s">
        <v>568</v>
      </c>
      <c r="U56" s="55" t="s">
        <v>666</v>
      </c>
      <c r="V56" s="55"/>
      <c r="W56" s="54"/>
      <c r="X56" s="54" t="s">
        <v>7</v>
      </c>
      <c r="Y56" s="55" t="s">
        <v>959</v>
      </c>
      <c r="Z56" s="54"/>
      <c r="AA56" s="329"/>
    </row>
    <row r="57" spans="1:27" ht="15.75">
      <c r="A57" s="215" t="s">
        <v>477</v>
      </c>
      <c r="B57" s="210" t="s">
        <v>549</v>
      </c>
      <c r="C57" s="254" t="s">
        <v>744</v>
      </c>
      <c r="D57" s="255">
        <v>18.02</v>
      </c>
      <c r="E57" s="219" t="s">
        <v>7</v>
      </c>
      <c r="F57" s="304"/>
      <c r="G57" s="241" t="s">
        <v>741</v>
      </c>
      <c r="H57" s="242">
        <v>0</v>
      </c>
      <c r="I57" s="242">
        <v>100</v>
      </c>
      <c r="J57" s="345" t="s">
        <v>742</v>
      </c>
      <c r="K57" s="298">
        <v>79.89</v>
      </c>
      <c r="L57" s="298">
        <v>539.24</v>
      </c>
      <c r="M57" s="249">
        <f>2.2/4.18*3.6</f>
        <v>1.8947368421052635</v>
      </c>
      <c r="N57" s="59"/>
      <c r="O57" s="278">
        <v>1.309</v>
      </c>
      <c r="P57" s="262">
        <v>3.1</v>
      </c>
      <c r="Q57" s="132"/>
      <c r="R57" s="290"/>
      <c r="S57" s="215" t="s">
        <v>477</v>
      </c>
      <c r="U57" s="329" t="s">
        <v>958</v>
      </c>
      <c r="V57" s="329"/>
      <c r="W57" s="329"/>
      <c r="X57" s="329"/>
      <c r="Y57" s="54"/>
      <c r="Z57" s="54"/>
      <c r="AA57" s="54"/>
    </row>
    <row r="58" spans="1:27" ht="12.75">
      <c r="A58" s="246" t="s">
        <v>452</v>
      </c>
      <c r="B58" s="204" t="s">
        <v>566</v>
      </c>
      <c r="C58" s="254">
        <v>1.264</v>
      </c>
      <c r="D58" s="255">
        <v>92.11</v>
      </c>
      <c r="E58" s="347">
        <f>0.13*760/101.325</f>
        <v>0.9750801875154206</v>
      </c>
      <c r="F58" s="302" t="s">
        <v>600</v>
      </c>
      <c r="G58" s="241">
        <v>5100</v>
      </c>
      <c r="H58" s="242">
        <v>20</v>
      </c>
      <c r="I58" s="242">
        <v>290</v>
      </c>
      <c r="J58" s="334">
        <f>2.43/4.1855</f>
        <v>0.5805757973957711</v>
      </c>
      <c r="K58" s="230">
        <f>200.6/4.1855</f>
        <v>47.927368295305214</v>
      </c>
      <c r="L58" s="202" t="s">
        <v>7</v>
      </c>
      <c r="M58" s="249">
        <f>0.29/0.56</f>
        <v>0.5178571428571428</v>
      </c>
      <c r="N58" s="248" t="s">
        <v>7</v>
      </c>
      <c r="O58" s="278">
        <v>1.475</v>
      </c>
      <c r="P58" s="293" t="s">
        <v>981</v>
      </c>
      <c r="Q58" s="132"/>
      <c r="R58" s="290"/>
      <c r="S58" s="246" t="s">
        <v>452</v>
      </c>
      <c r="U58" s="54"/>
      <c r="V58" s="54"/>
      <c r="W58" s="54"/>
      <c r="X58" s="54"/>
      <c r="Y58" s="54"/>
      <c r="Z58" s="54"/>
      <c r="AA58" s="54"/>
    </row>
    <row r="59" spans="1:19" ht="12.75">
      <c r="A59" s="247" t="s">
        <v>704</v>
      </c>
      <c r="B59" s="337" t="s">
        <v>703</v>
      </c>
      <c r="C59" s="254"/>
      <c r="D59" s="255"/>
      <c r="E59" s="348"/>
      <c r="F59" s="304"/>
      <c r="G59" s="241">
        <v>220</v>
      </c>
      <c r="H59" s="242"/>
      <c r="I59" s="242"/>
      <c r="J59" s="411"/>
      <c r="K59" s="202" t="s">
        <v>7</v>
      </c>
      <c r="L59" s="202" t="s">
        <v>7</v>
      </c>
      <c r="M59" s="59"/>
      <c r="N59" s="296" t="s">
        <v>910</v>
      </c>
      <c r="O59" s="278"/>
      <c r="P59" s="262">
        <v>2.5</v>
      </c>
      <c r="Q59" s="132"/>
      <c r="R59" s="288"/>
      <c r="S59" s="247" t="s">
        <v>540</v>
      </c>
    </row>
    <row r="60" spans="1:26" ht="12.75">
      <c r="A60" s="247" t="s">
        <v>567</v>
      </c>
      <c r="B60" s="210" t="s">
        <v>68</v>
      </c>
      <c r="C60" s="275" t="s">
        <v>937</v>
      </c>
      <c r="D60" s="255"/>
      <c r="E60" s="348"/>
      <c r="F60" s="304"/>
      <c r="G60" s="276" t="s">
        <v>938</v>
      </c>
      <c r="H60" s="225">
        <v>3700</v>
      </c>
      <c r="I60" s="225" t="s">
        <v>564</v>
      </c>
      <c r="J60" s="316">
        <f>8.5/(12.011*4.1855)</f>
        <v>0.16908006747806467</v>
      </c>
      <c r="K60" s="298">
        <v>4067</v>
      </c>
      <c r="L60" s="202" t="s">
        <v>7</v>
      </c>
      <c r="M60" s="59"/>
      <c r="N60" s="296" t="s">
        <v>941</v>
      </c>
      <c r="O60" s="405">
        <v>2.417</v>
      </c>
      <c r="P60" s="265" t="s">
        <v>518</v>
      </c>
      <c r="Q60" s="132"/>
      <c r="R60" s="288"/>
      <c r="S60" s="247" t="s">
        <v>567</v>
      </c>
      <c r="U60" s="180" t="s">
        <v>880</v>
      </c>
      <c r="V60" s="180"/>
      <c r="W60" s="180"/>
      <c r="X60" s="180"/>
      <c r="Y60" s="47"/>
      <c r="Z60" s="47"/>
    </row>
    <row r="61" spans="1:26" ht="12.75">
      <c r="A61" s="247" t="s">
        <v>594</v>
      </c>
      <c r="B61" s="210"/>
      <c r="C61" s="275" t="s">
        <v>743</v>
      </c>
      <c r="D61" s="255"/>
      <c r="E61" s="348"/>
      <c r="F61" s="304"/>
      <c r="G61" s="241">
        <v>24</v>
      </c>
      <c r="H61" s="225"/>
      <c r="I61" s="225"/>
      <c r="J61" s="316">
        <v>0.19</v>
      </c>
      <c r="K61" s="229">
        <f>3.5/0.56</f>
        <v>6.249999999999999</v>
      </c>
      <c r="L61" s="202"/>
      <c r="M61" s="59"/>
      <c r="N61" s="238"/>
      <c r="O61" s="278"/>
      <c r="P61" s="265"/>
      <c r="Q61" s="132"/>
      <c r="R61" s="288"/>
      <c r="S61" s="247" t="s">
        <v>594</v>
      </c>
      <c r="U61" s="47"/>
      <c r="V61" s="47"/>
      <c r="W61" s="47"/>
      <c r="X61" s="47"/>
      <c r="Y61" s="47"/>
      <c r="Z61" s="47"/>
    </row>
    <row r="62" spans="1:26" ht="12.75">
      <c r="A62" s="246" t="s">
        <v>462</v>
      </c>
      <c r="C62" s="338" t="s">
        <v>745</v>
      </c>
      <c r="D62" s="255"/>
      <c r="E62" s="348"/>
      <c r="F62" s="304"/>
      <c r="G62" s="241">
        <v>100</v>
      </c>
      <c r="H62" s="242"/>
      <c r="I62" s="242"/>
      <c r="J62" s="334">
        <f>2/4.18</f>
        <v>0.47846889952153115</v>
      </c>
      <c r="K62" s="202" t="s">
        <v>7</v>
      </c>
      <c r="L62" s="202" t="s">
        <v>7</v>
      </c>
      <c r="M62" s="248">
        <v>3.1</v>
      </c>
      <c r="N62" s="59"/>
      <c r="O62" s="278"/>
      <c r="P62" s="132"/>
      <c r="Q62" s="132"/>
      <c r="R62" s="289" t="s">
        <v>561</v>
      </c>
      <c r="S62" s="246" t="s">
        <v>462</v>
      </c>
      <c r="U62" s="47"/>
      <c r="V62" s="47"/>
      <c r="W62" s="366" t="s">
        <v>860</v>
      </c>
      <c r="X62" s="366" t="s">
        <v>861</v>
      </c>
      <c r="Y62" s="47"/>
      <c r="Z62" s="366" t="s">
        <v>873</v>
      </c>
    </row>
    <row r="63" spans="1:26" ht="12.75">
      <c r="A63" s="246" t="s">
        <v>606</v>
      </c>
      <c r="C63" s="275" t="s">
        <v>607</v>
      </c>
      <c r="D63" s="255"/>
      <c r="E63" s="348"/>
      <c r="F63" s="304"/>
      <c r="G63" s="241"/>
      <c r="H63" s="242"/>
      <c r="I63" s="242"/>
      <c r="J63" s="54"/>
      <c r="K63" s="202"/>
      <c r="L63" s="202"/>
      <c r="M63" s="59"/>
      <c r="N63" s="59"/>
      <c r="O63" s="278"/>
      <c r="P63" s="132"/>
      <c r="Q63" s="132"/>
      <c r="R63" s="289"/>
      <c r="S63" s="246" t="s">
        <v>606</v>
      </c>
      <c r="U63" s="47"/>
      <c r="V63" s="47"/>
      <c r="W63" s="47"/>
      <c r="X63" s="47"/>
      <c r="Y63" s="47"/>
      <c r="Z63" s="47"/>
    </row>
    <row r="64" spans="1:26" ht="15.75">
      <c r="A64" s="247" t="s">
        <v>524</v>
      </c>
      <c r="C64" s="275" t="s">
        <v>525</v>
      </c>
      <c r="D64" s="255"/>
      <c r="E64" s="348"/>
      <c r="F64" s="304"/>
      <c r="G64" s="241"/>
      <c r="H64" s="242"/>
      <c r="I64" s="242"/>
      <c r="J64" s="316">
        <v>0.45</v>
      </c>
      <c r="K64" s="202" t="s">
        <v>7</v>
      </c>
      <c r="L64" s="202" t="s">
        <v>7</v>
      </c>
      <c r="M64" s="237">
        <f>0.04/4185.5*3600</f>
        <v>0.03440449169752718</v>
      </c>
      <c r="N64" s="59"/>
      <c r="O64" s="278"/>
      <c r="P64" s="132"/>
      <c r="Q64" s="132"/>
      <c r="R64" s="288"/>
      <c r="S64" s="247" t="s">
        <v>524</v>
      </c>
      <c r="U64" s="367" t="s">
        <v>874</v>
      </c>
      <c r="V64" s="368" t="s">
        <v>875</v>
      </c>
      <c r="W64" s="369" t="s">
        <v>872</v>
      </c>
      <c r="X64" s="369" t="s">
        <v>871</v>
      </c>
      <c r="Y64" s="367" t="s">
        <v>877</v>
      </c>
      <c r="Z64" s="368" t="s">
        <v>876</v>
      </c>
    </row>
    <row r="65" spans="1:26" ht="12.75">
      <c r="A65" s="247" t="s">
        <v>526</v>
      </c>
      <c r="C65" s="275" t="s">
        <v>527</v>
      </c>
      <c r="D65" s="255"/>
      <c r="E65" s="348"/>
      <c r="F65" s="304"/>
      <c r="G65" s="241"/>
      <c r="H65" s="242"/>
      <c r="I65" s="242"/>
      <c r="J65" s="316">
        <v>0.2</v>
      </c>
      <c r="K65" s="202" t="s">
        <v>7</v>
      </c>
      <c r="L65" s="202" t="s">
        <v>7</v>
      </c>
      <c r="M65" s="395">
        <v>0.03</v>
      </c>
      <c r="N65" s="59"/>
      <c r="O65" s="278"/>
      <c r="P65" s="132"/>
      <c r="Q65" s="132"/>
      <c r="R65" s="288"/>
      <c r="S65" s="247" t="s">
        <v>526</v>
      </c>
      <c r="U65" s="47"/>
      <c r="V65" s="47"/>
      <c r="W65" s="370" t="s">
        <v>878</v>
      </c>
      <c r="X65" s="370" t="s">
        <v>878</v>
      </c>
      <c r="Y65" s="371" t="s">
        <v>879</v>
      </c>
      <c r="Z65" s="47"/>
    </row>
    <row r="66" spans="1:26" ht="12.75">
      <c r="A66" s="247" t="s">
        <v>528</v>
      </c>
      <c r="C66" s="275" t="s">
        <v>529</v>
      </c>
      <c r="D66" s="255"/>
      <c r="E66" s="348"/>
      <c r="F66" s="304" t="s">
        <v>7</v>
      </c>
      <c r="G66" s="276" t="s">
        <v>530</v>
      </c>
      <c r="H66" s="242"/>
      <c r="I66" s="242"/>
      <c r="J66" s="287" t="s">
        <v>531</v>
      </c>
      <c r="K66" s="202" t="s">
        <v>7</v>
      </c>
      <c r="L66" s="202" t="s">
        <v>7</v>
      </c>
      <c r="M66" s="250">
        <f>0.2/4185.5*3600</f>
        <v>0.1720224584876359</v>
      </c>
      <c r="N66" s="59"/>
      <c r="O66" s="278"/>
      <c r="P66" s="293" t="s">
        <v>538</v>
      </c>
      <c r="Q66" s="132"/>
      <c r="R66" s="288">
        <f>14700/4185.5</f>
        <v>3.512125194122566</v>
      </c>
      <c r="S66" s="247" t="s">
        <v>528</v>
      </c>
      <c r="U66" s="47"/>
      <c r="V66" s="47"/>
      <c r="W66" s="47"/>
      <c r="X66" s="47"/>
      <c r="Y66" s="47"/>
      <c r="Z66" s="47"/>
    </row>
    <row r="67" spans="1:26" ht="12.75">
      <c r="A67" s="247" t="s">
        <v>487</v>
      </c>
      <c r="C67" s="275" t="s">
        <v>686</v>
      </c>
      <c r="D67" s="255"/>
      <c r="E67" s="348"/>
      <c r="F67" s="304"/>
      <c r="G67" s="276" t="s">
        <v>687</v>
      </c>
      <c r="H67" s="242"/>
      <c r="I67" s="242"/>
      <c r="J67" s="334">
        <f>0.8/4.18</f>
        <v>0.19138755980861247</v>
      </c>
      <c r="K67" s="202" t="s">
        <v>7</v>
      </c>
      <c r="L67" s="202" t="s">
        <v>7</v>
      </c>
      <c r="M67" s="250">
        <f>2.8/4185.5*3600</f>
        <v>2.4083144188269023</v>
      </c>
      <c r="N67" s="59"/>
      <c r="O67" s="278"/>
      <c r="P67" s="293" t="s">
        <v>536</v>
      </c>
      <c r="Q67" s="132"/>
      <c r="R67" s="292"/>
      <c r="S67" s="247" t="s">
        <v>487</v>
      </c>
      <c r="U67" s="372" t="s">
        <v>855</v>
      </c>
      <c r="V67" s="372"/>
      <c r="W67" s="241">
        <v>0.74</v>
      </c>
      <c r="X67" s="241">
        <v>0.57</v>
      </c>
      <c r="Y67" s="47"/>
      <c r="Z67" s="373" t="s">
        <v>881</v>
      </c>
    </row>
    <row r="68" spans="1:26" ht="12.75">
      <c r="A68" s="247" t="s">
        <v>585</v>
      </c>
      <c r="C68" s="275" t="s">
        <v>746</v>
      </c>
      <c r="D68" s="255"/>
      <c r="E68" s="348"/>
      <c r="F68" s="304"/>
      <c r="G68" s="276" t="s">
        <v>748</v>
      </c>
      <c r="H68" s="242"/>
      <c r="I68" s="242"/>
      <c r="J68" s="334">
        <f>0.84/4.18</f>
        <v>0.20095693779904306</v>
      </c>
      <c r="K68" s="202"/>
      <c r="L68" s="202"/>
      <c r="M68" s="335" t="s">
        <v>697</v>
      </c>
      <c r="N68" s="59"/>
      <c r="O68" s="278"/>
      <c r="P68" s="293"/>
      <c r="Q68" s="132"/>
      <c r="R68" s="292"/>
      <c r="S68" s="247" t="s">
        <v>585</v>
      </c>
      <c r="U68" s="372" t="s">
        <v>857</v>
      </c>
      <c r="V68" s="372"/>
      <c r="W68" s="241">
        <v>0.61</v>
      </c>
      <c r="X68" s="241">
        <v>0.47</v>
      </c>
      <c r="Y68" s="47"/>
      <c r="Z68" s="47"/>
    </row>
    <row r="69" spans="1:26" ht="12.75">
      <c r="A69" s="247" t="s">
        <v>488</v>
      </c>
      <c r="C69" s="275" t="s">
        <v>747</v>
      </c>
      <c r="D69" s="255"/>
      <c r="E69" s="348"/>
      <c r="F69" s="304"/>
      <c r="G69" s="276" t="s">
        <v>749</v>
      </c>
      <c r="H69" s="242"/>
      <c r="I69" s="242"/>
      <c r="J69" s="334">
        <f>0.88/4.18</f>
        <v>0.2105263157894737</v>
      </c>
      <c r="K69" s="202" t="s">
        <v>7</v>
      </c>
      <c r="L69" s="202" t="s">
        <v>7</v>
      </c>
      <c r="M69" s="237">
        <v>0.47</v>
      </c>
      <c r="N69" s="59"/>
      <c r="O69" s="278"/>
      <c r="P69" s="293" t="s">
        <v>537</v>
      </c>
      <c r="Q69" s="132"/>
      <c r="R69" s="282"/>
      <c r="S69" s="247" t="s">
        <v>488</v>
      </c>
      <c r="U69" s="372" t="s">
        <v>856</v>
      </c>
      <c r="V69" s="372"/>
      <c r="W69" s="241">
        <v>0.53</v>
      </c>
      <c r="X69" s="241">
        <v>0.36</v>
      </c>
      <c r="Y69" s="47"/>
      <c r="Z69" s="47"/>
    </row>
    <row r="70" spans="1:26" ht="12.75">
      <c r="A70" s="246" t="s">
        <v>946</v>
      </c>
      <c r="B70" s="277" t="s">
        <v>945</v>
      </c>
      <c r="C70" s="254">
        <v>2.17</v>
      </c>
      <c r="D70" s="255"/>
      <c r="E70" s="348"/>
      <c r="F70" s="304"/>
      <c r="G70" s="241"/>
      <c r="H70" s="242">
        <v>808</v>
      </c>
      <c r="I70" s="242"/>
      <c r="J70" s="334">
        <v>0.22</v>
      </c>
      <c r="K70" s="399">
        <v>120</v>
      </c>
      <c r="L70" s="202" t="s">
        <v>7</v>
      </c>
      <c r="M70" s="398">
        <v>0.03</v>
      </c>
      <c r="N70" s="295" t="s">
        <v>418</v>
      </c>
      <c r="O70" s="338" t="s">
        <v>944</v>
      </c>
      <c r="P70" s="132"/>
      <c r="Q70" s="132"/>
      <c r="R70" s="282"/>
      <c r="S70" s="189" t="s">
        <v>451</v>
      </c>
      <c r="U70" s="372" t="s">
        <v>849</v>
      </c>
      <c r="V70" s="372"/>
      <c r="W70" s="241">
        <v>0.51</v>
      </c>
      <c r="X70" s="241">
        <v>0.44</v>
      </c>
      <c r="Y70" s="47"/>
      <c r="Z70" s="47"/>
    </row>
    <row r="71" spans="1:26" ht="12.75">
      <c r="A71" s="189" t="s">
        <v>450</v>
      </c>
      <c r="B71" s="92"/>
      <c r="C71" s="254"/>
      <c r="D71" s="255"/>
      <c r="E71" s="348"/>
      <c r="F71" s="304"/>
      <c r="G71" s="241"/>
      <c r="H71" s="242"/>
      <c r="I71" s="242"/>
      <c r="J71" s="54"/>
      <c r="K71" s="202"/>
      <c r="L71" s="202" t="s">
        <v>7</v>
      </c>
      <c r="M71" s="59"/>
      <c r="N71" s="295" t="s">
        <v>417</v>
      </c>
      <c r="O71" s="278"/>
      <c r="P71" s="132"/>
      <c r="Q71" s="132"/>
      <c r="R71" s="282"/>
      <c r="S71" s="189" t="s">
        <v>450</v>
      </c>
      <c r="U71" s="372" t="s">
        <v>850</v>
      </c>
      <c r="V71" s="372"/>
      <c r="W71" s="241">
        <v>0.85</v>
      </c>
      <c r="X71" s="241"/>
      <c r="Y71" s="47"/>
      <c r="Z71" s="47"/>
    </row>
    <row r="72" spans="1:26" ht="13.5" customHeight="1">
      <c r="A72" s="189" t="s">
        <v>449</v>
      </c>
      <c r="C72" s="254"/>
      <c r="D72" s="255"/>
      <c r="E72" s="348"/>
      <c r="F72" s="304"/>
      <c r="G72" s="241"/>
      <c r="H72" s="242"/>
      <c r="I72" s="242"/>
      <c r="J72" s="54"/>
      <c r="K72" s="202" t="s">
        <v>7</v>
      </c>
      <c r="L72" s="202" t="s">
        <v>7</v>
      </c>
      <c r="M72" s="59"/>
      <c r="N72" s="295" t="s">
        <v>416</v>
      </c>
      <c r="O72" s="278"/>
      <c r="P72" s="132"/>
      <c r="Q72" s="132"/>
      <c r="R72" s="282"/>
      <c r="S72" s="189" t="s">
        <v>449</v>
      </c>
      <c r="U72" s="372" t="s">
        <v>851</v>
      </c>
      <c r="V72" s="372"/>
      <c r="W72" s="276" t="s">
        <v>862</v>
      </c>
      <c r="X72" s="276" t="s">
        <v>868</v>
      </c>
      <c r="Y72" s="47"/>
      <c r="Z72" s="47"/>
    </row>
    <row r="73" spans="1:26" ht="13.5" customHeight="1">
      <c r="A73" s="247" t="s">
        <v>489</v>
      </c>
      <c r="C73" s="275" t="s">
        <v>714</v>
      </c>
      <c r="D73" s="255"/>
      <c r="E73" s="348"/>
      <c r="F73" s="400" t="s">
        <v>7</v>
      </c>
      <c r="G73" s="276" t="s">
        <v>950</v>
      </c>
      <c r="H73" s="242"/>
      <c r="I73" s="242"/>
      <c r="J73" s="54"/>
      <c r="K73" s="202" t="s">
        <v>7</v>
      </c>
      <c r="L73" s="202" t="s">
        <v>7</v>
      </c>
      <c r="M73" s="295"/>
      <c r="N73" s="295" t="s">
        <v>908</v>
      </c>
      <c r="O73" s="278">
        <v>1.53</v>
      </c>
      <c r="P73" s="293" t="s">
        <v>710</v>
      </c>
      <c r="Q73" s="132"/>
      <c r="R73" s="282"/>
      <c r="S73" s="247" t="s">
        <v>489</v>
      </c>
      <c r="U73" s="372" t="s">
        <v>852</v>
      </c>
      <c r="V73" s="372"/>
      <c r="W73" s="276" t="s">
        <v>863</v>
      </c>
      <c r="X73" s="241">
        <v>0.04</v>
      </c>
      <c r="Y73" s="47"/>
      <c r="Z73" s="47"/>
    </row>
    <row r="74" spans="1:26" ht="12.75">
      <c r="A74" s="247" t="s">
        <v>478</v>
      </c>
      <c r="C74" s="275" t="s">
        <v>750</v>
      </c>
      <c r="D74" s="255"/>
      <c r="E74" s="348"/>
      <c r="F74" s="400" t="s">
        <v>7</v>
      </c>
      <c r="G74" s="276" t="s">
        <v>949</v>
      </c>
      <c r="H74" s="242"/>
      <c r="I74" s="242"/>
      <c r="J74" s="54"/>
      <c r="K74" s="202" t="s">
        <v>7</v>
      </c>
      <c r="L74" s="202" t="s">
        <v>7</v>
      </c>
      <c r="M74" s="59"/>
      <c r="N74" s="396" t="s">
        <v>943</v>
      </c>
      <c r="O74" s="278" t="s">
        <v>7</v>
      </c>
      <c r="P74" s="293" t="s">
        <v>484</v>
      </c>
      <c r="Q74" s="132"/>
      <c r="R74" s="282">
        <v>4</v>
      </c>
      <c r="S74" s="247" t="s">
        <v>478</v>
      </c>
      <c r="U74" s="372" t="s">
        <v>848</v>
      </c>
      <c r="V74" s="372"/>
      <c r="W74" s="276" t="s">
        <v>864</v>
      </c>
      <c r="X74" s="241">
        <v>0.04</v>
      </c>
      <c r="Y74" s="47"/>
      <c r="Z74" s="47"/>
    </row>
    <row r="75" spans="1:26" ht="12.75">
      <c r="A75" s="247" t="s">
        <v>570</v>
      </c>
      <c r="B75" s="210" t="s">
        <v>591</v>
      </c>
      <c r="C75" s="254">
        <v>0.627</v>
      </c>
      <c r="D75" s="255"/>
      <c r="E75" s="347">
        <f>56.39*760/101.325</f>
        <v>422.9597828768813</v>
      </c>
      <c r="F75" s="302" t="s">
        <v>601</v>
      </c>
      <c r="G75" s="241">
        <v>1550</v>
      </c>
      <c r="H75" s="242">
        <v>-129.7</v>
      </c>
      <c r="I75" s="242">
        <v>116.7</v>
      </c>
      <c r="J75" s="54"/>
      <c r="K75" s="252">
        <f>116.7/4.1855</f>
        <v>27.881973479870982</v>
      </c>
      <c r="L75" s="230">
        <f>360/4.1855</f>
        <v>86.01122924381794</v>
      </c>
      <c r="M75" s="248">
        <v>0.12</v>
      </c>
      <c r="N75" s="59"/>
      <c r="O75" s="278" t="s">
        <v>7</v>
      </c>
      <c r="P75" s="293"/>
      <c r="Q75" s="132"/>
      <c r="R75" s="282"/>
      <c r="S75" s="247" t="s">
        <v>570</v>
      </c>
      <c r="U75" s="372" t="s">
        <v>853</v>
      </c>
      <c r="V75" s="372"/>
      <c r="W75" s="241">
        <v>0.04</v>
      </c>
      <c r="X75" s="241"/>
      <c r="Y75" s="47"/>
      <c r="Z75" s="47"/>
    </row>
    <row r="76" spans="1:26" ht="12.75">
      <c r="A76" s="247" t="s">
        <v>479</v>
      </c>
      <c r="C76" s="254"/>
      <c r="D76" s="255"/>
      <c r="E76" s="218"/>
      <c r="F76" s="344" t="s">
        <v>739</v>
      </c>
      <c r="G76" s="241">
        <v>80</v>
      </c>
      <c r="H76" s="242"/>
      <c r="I76" s="242"/>
      <c r="J76" s="54"/>
      <c r="K76" s="202" t="s">
        <v>7</v>
      </c>
      <c r="L76" s="202" t="s">
        <v>7</v>
      </c>
      <c r="M76" s="59"/>
      <c r="N76" s="295" t="s">
        <v>952</v>
      </c>
      <c r="O76" s="338" t="s">
        <v>740</v>
      </c>
      <c r="P76" s="265" t="s">
        <v>533</v>
      </c>
      <c r="Q76" s="132"/>
      <c r="R76" s="282"/>
      <c r="S76" s="247" t="s">
        <v>479</v>
      </c>
      <c r="U76" s="372" t="s">
        <v>854</v>
      </c>
      <c r="V76" s="372"/>
      <c r="W76" s="241">
        <v>0.04</v>
      </c>
      <c r="X76" s="241"/>
      <c r="Y76" s="47"/>
      <c r="Z76" s="47"/>
    </row>
    <row r="77" spans="1:26" ht="12.75">
      <c r="A77" s="247" t="s">
        <v>480</v>
      </c>
      <c r="C77" s="275" t="s">
        <v>715</v>
      </c>
      <c r="D77" s="255" t="s">
        <v>708</v>
      </c>
      <c r="E77" s="218"/>
      <c r="F77" s="344" t="s">
        <v>736</v>
      </c>
      <c r="G77" s="276" t="s">
        <v>718</v>
      </c>
      <c r="H77" s="242"/>
      <c r="I77" s="242"/>
      <c r="J77" s="54"/>
      <c r="K77" s="202" t="s">
        <v>7</v>
      </c>
      <c r="L77" s="202" t="s">
        <v>7</v>
      </c>
      <c r="M77" s="59"/>
      <c r="N77" s="295" t="s">
        <v>906</v>
      </c>
      <c r="O77" s="278" t="s">
        <v>711</v>
      </c>
      <c r="P77" s="293" t="s">
        <v>485</v>
      </c>
      <c r="Q77" s="132"/>
      <c r="R77" s="282"/>
      <c r="S77" s="247" t="s">
        <v>480</v>
      </c>
      <c r="U77" s="372" t="s">
        <v>858</v>
      </c>
      <c r="V77" s="372"/>
      <c r="W77" s="241" t="s">
        <v>865</v>
      </c>
      <c r="X77" s="241"/>
      <c r="Y77" s="47"/>
      <c r="Z77" s="47"/>
    </row>
    <row r="78" spans="1:26" ht="12.75">
      <c r="A78" s="247" t="s">
        <v>682</v>
      </c>
      <c r="B78" s="209" t="s">
        <v>707</v>
      </c>
      <c r="C78" s="275" t="s">
        <v>683</v>
      </c>
      <c r="D78" s="255" t="s">
        <v>708</v>
      </c>
      <c r="E78" s="218"/>
      <c r="F78" s="344" t="s">
        <v>737</v>
      </c>
      <c r="G78" s="276" t="s">
        <v>718</v>
      </c>
      <c r="H78" s="242"/>
      <c r="I78" s="242"/>
      <c r="J78" s="54"/>
      <c r="K78" s="202"/>
      <c r="L78" s="202"/>
      <c r="M78" s="59"/>
      <c r="N78" s="336" t="s">
        <v>909</v>
      </c>
      <c r="O78" s="338">
        <v>1.54</v>
      </c>
      <c r="P78" s="293">
        <v>2.3</v>
      </c>
      <c r="Q78" s="132"/>
      <c r="R78" s="282"/>
      <c r="S78" s="247" t="s">
        <v>480</v>
      </c>
      <c r="U78" s="372" t="s">
        <v>859</v>
      </c>
      <c r="V78" s="372"/>
      <c r="W78" s="276" t="s">
        <v>866</v>
      </c>
      <c r="X78" s="241"/>
      <c r="Y78" s="47"/>
      <c r="Z78" s="47"/>
    </row>
    <row r="79" spans="1:26" ht="12.75">
      <c r="A79" s="247" t="s">
        <v>684</v>
      </c>
      <c r="B79" s="209" t="s">
        <v>685</v>
      </c>
      <c r="C79" s="275" t="s">
        <v>713</v>
      </c>
      <c r="D79" s="255" t="s">
        <v>708</v>
      </c>
      <c r="E79" s="218"/>
      <c r="F79" s="344" t="s">
        <v>738</v>
      </c>
      <c r="G79" s="276" t="s">
        <v>951</v>
      </c>
      <c r="H79" s="242"/>
      <c r="I79" s="242"/>
      <c r="J79" s="54"/>
      <c r="K79" s="202"/>
      <c r="L79" s="202"/>
      <c r="M79" s="59"/>
      <c r="N79" s="336" t="s">
        <v>909</v>
      </c>
      <c r="O79" s="278">
        <v>1.54</v>
      </c>
      <c r="P79" s="293" t="s">
        <v>709</v>
      </c>
      <c r="Q79" s="132"/>
      <c r="R79" s="282"/>
      <c r="S79" s="247" t="s">
        <v>682</v>
      </c>
      <c r="U79" s="372" t="s">
        <v>867</v>
      </c>
      <c r="V79" s="372"/>
      <c r="W79" s="241">
        <v>0.2</v>
      </c>
      <c r="X79" s="241"/>
      <c r="Y79" s="47"/>
      <c r="Z79" s="47"/>
    </row>
    <row r="80" spans="1:26" ht="12.75">
      <c r="A80" s="247" t="s">
        <v>481</v>
      </c>
      <c r="C80" s="275" t="s">
        <v>751</v>
      </c>
      <c r="D80" s="255"/>
      <c r="E80" s="218"/>
      <c r="F80" s="341" t="s">
        <v>948</v>
      </c>
      <c r="G80" s="276" t="s">
        <v>755</v>
      </c>
      <c r="H80" s="242"/>
      <c r="I80" s="242"/>
      <c r="J80" s="333" t="s">
        <v>688</v>
      </c>
      <c r="K80" s="202" t="s">
        <v>7</v>
      </c>
      <c r="L80" s="202" t="s">
        <v>7</v>
      </c>
      <c r="M80" s="237" t="s">
        <v>756</v>
      </c>
      <c r="N80" s="295" t="s">
        <v>905</v>
      </c>
      <c r="O80" s="278" t="s">
        <v>7</v>
      </c>
      <c r="P80" s="293" t="s">
        <v>534</v>
      </c>
      <c r="Q80" s="132"/>
      <c r="R80" s="282"/>
      <c r="S80" s="247" t="s">
        <v>684</v>
      </c>
      <c r="U80" s="372" t="s">
        <v>888</v>
      </c>
      <c r="V80" s="372"/>
      <c r="W80" s="276" t="s">
        <v>866</v>
      </c>
      <c r="X80" s="241"/>
      <c r="Y80" s="47"/>
      <c r="Z80" s="47"/>
    </row>
    <row r="81" spans="1:26" ht="12.75">
      <c r="A81" s="247" t="s">
        <v>681</v>
      </c>
      <c r="B81" s="204" t="s">
        <v>460</v>
      </c>
      <c r="C81" s="254">
        <v>0.5</v>
      </c>
      <c r="D81" s="255">
        <v>44.1</v>
      </c>
      <c r="E81" s="218"/>
      <c r="F81" s="304"/>
      <c r="G81" s="241"/>
      <c r="H81" s="242"/>
      <c r="I81" s="242"/>
      <c r="J81" s="54"/>
      <c r="K81" s="202" t="s">
        <v>7</v>
      </c>
      <c r="L81" s="202" t="s">
        <v>7</v>
      </c>
      <c r="M81" s="59"/>
      <c r="N81" s="59"/>
      <c r="O81" s="278"/>
      <c r="P81" s="293"/>
      <c r="Q81" s="132"/>
      <c r="R81" s="282">
        <f>46200/4185.5</f>
        <v>11.038107752956636</v>
      </c>
      <c r="S81" s="247" t="s">
        <v>481</v>
      </c>
      <c r="U81" s="372" t="s">
        <v>889</v>
      </c>
      <c r="V81" s="372"/>
      <c r="W81" s="241">
        <v>0.2</v>
      </c>
      <c r="X81" s="241"/>
      <c r="Y81" s="47"/>
      <c r="Z81" s="47"/>
    </row>
    <row r="82" spans="1:26" ht="12.75">
      <c r="A82" s="247" t="s">
        <v>453</v>
      </c>
      <c r="C82" s="254"/>
      <c r="D82" s="256"/>
      <c r="E82" s="218"/>
      <c r="F82" s="304"/>
      <c r="G82" s="241"/>
      <c r="H82" s="242"/>
      <c r="I82" s="242"/>
      <c r="J82" s="54"/>
      <c r="K82" s="202" t="s">
        <v>7</v>
      </c>
      <c r="L82" s="202" t="s">
        <v>7</v>
      </c>
      <c r="M82" s="59"/>
      <c r="N82" s="59"/>
      <c r="O82" s="278"/>
      <c r="P82" s="132"/>
      <c r="Q82" s="132"/>
      <c r="R82" s="284" t="s">
        <v>560</v>
      </c>
      <c r="S82" s="247" t="s">
        <v>681</v>
      </c>
      <c r="U82" s="372" t="s">
        <v>890</v>
      </c>
      <c r="V82" s="372"/>
      <c r="W82" s="370"/>
      <c r="X82" s="276" t="s">
        <v>868</v>
      </c>
      <c r="Y82" s="47"/>
      <c r="Z82" s="47"/>
    </row>
    <row r="83" spans="1:26" ht="12.75">
      <c r="A83" s="247" t="s">
        <v>571</v>
      </c>
      <c r="B83" s="210" t="s">
        <v>592</v>
      </c>
      <c r="C83" s="391">
        <v>0.704</v>
      </c>
      <c r="D83" s="255">
        <v>114.23</v>
      </c>
      <c r="E83" s="347">
        <f>1.33*760/101.325</f>
        <v>9.975820379965459</v>
      </c>
      <c r="F83" s="302" t="s">
        <v>602</v>
      </c>
      <c r="G83" s="241">
        <v>1140</v>
      </c>
      <c r="H83" s="242">
        <v>-56.8</v>
      </c>
      <c r="I83" s="242">
        <v>180.8</v>
      </c>
      <c r="J83" s="334">
        <f>2.22/4.18</f>
        <v>0.5311004784688996</v>
      </c>
      <c r="K83" s="230">
        <f>180.8/4.1855</f>
        <v>43.196750686895236</v>
      </c>
      <c r="L83" s="230">
        <f>299/4.1855</f>
        <v>71.43710428861546</v>
      </c>
      <c r="M83" s="300">
        <f>0.15/0.56</f>
        <v>0.26785714285714285</v>
      </c>
      <c r="N83" s="59"/>
      <c r="O83" s="278"/>
      <c r="P83" s="132"/>
      <c r="Q83" s="132"/>
      <c r="R83" s="284"/>
      <c r="S83" s="247" t="s">
        <v>453</v>
      </c>
      <c r="U83" s="372" t="s">
        <v>891</v>
      </c>
      <c r="V83" s="372"/>
      <c r="W83" s="370"/>
      <c r="X83" s="276" t="s">
        <v>869</v>
      </c>
      <c r="Y83" s="47"/>
      <c r="Z83" s="47"/>
    </row>
    <row r="84" spans="1:26" ht="12.75">
      <c r="A84" s="247" t="s">
        <v>752</v>
      </c>
      <c r="B84" s="204" t="s">
        <v>753</v>
      </c>
      <c r="C84" s="254" t="s">
        <v>754</v>
      </c>
      <c r="D84" s="256"/>
      <c r="E84" s="218"/>
      <c r="F84" s="304"/>
      <c r="G84" s="241"/>
      <c r="H84" s="242"/>
      <c r="I84" s="242"/>
      <c r="J84" s="334">
        <f>0.84/4.18</f>
        <v>0.20095693779904306</v>
      </c>
      <c r="K84" s="202" t="s">
        <v>7</v>
      </c>
      <c r="L84" s="202" t="s">
        <v>7</v>
      </c>
      <c r="M84" s="250">
        <v>0.9</v>
      </c>
      <c r="N84" s="59"/>
      <c r="O84" s="278" t="s">
        <v>7</v>
      </c>
      <c r="P84" s="293" t="s">
        <v>535</v>
      </c>
      <c r="Q84" s="132"/>
      <c r="R84" s="282"/>
      <c r="S84" s="247" t="s">
        <v>571</v>
      </c>
      <c r="U84" s="372" t="s">
        <v>886</v>
      </c>
      <c r="V84" s="372"/>
      <c r="W84" s="370"/>
      <c r="X84" s="276" t="s">
        <v>870</v>
      </c>
      <c r="Y84" s="47"/>
      <c r="Z84" s="47"/>
    </row>
    <row r="85" spans="1:26" ht="12.75">
      <c r="A85" s="247" t="s">
        <v>692</v>
      </c>
      <c r="B85" s="204"/>
      <c r="C85" s="254"/>
      <c r="D85" s="256"/>
      <c r="E85" s="218"/>
      <c r="F85" s="304"/>
      <c r="G85" s="241"/>
      <c r="H85" s="242"/>
      <c r="I85" s="242"/>
      <c r="J85" s="333" t="s">
        <v>694</v>
      </c>
      <c r="K85" s="202"/>
      <c r="L85" s="202"/>
      <c r="M85" s="336" t="s">
        <v>699</v>
      </c>
      <c r="N85" s="59"/>
      <c r="O85" s="278"/>
      <c r="P85" s="293"/>
      <c r="Q85" s="132"/>
      <c r="R85" s="282"/>
      <c r="S85" s="247" t="s">
        <v>482</v>
      </c>
      <c r="U85" s="372" t="s">
        <v>887</v>
      </c>
      <c r="V85" s="372"/>
      <c r="W85" s="47"/>
      <c r="X85" s="47"/>
      <c r="Y85" s="47"/>
      <c r="Z85" s="373" t="s">
        <v>882</v>
      </c>
    </row>
    <row r="86" spans="1:26" ht="12.75">
      <c r="A86" s="247" t="s">
        <v>693</v>
      </c>
      <c r="B86" s="204" t="s">
        <v>7</v>
      </c>
      <c r="C86" s="275" t="s">
        <v>695</v>
      </c>
      <c r="D86" s="256"/>
      <c r="E86" s="218"/>
      <c r="F86" s="304"/>
      <c r="G86" s="241"/>
      <c r="H86" s="242"/>
      <c r="I86" s="242"/>
      <c r="J86" s="54"/>
      <c r="K86" s="202"/>
      <c r="L86" s="202"/>
      <c r="M86" s="336" t="s">
        <v>698</v>
      </c>
      <c r="N86" s="59"/>
      <c r="O86" s="278"/>
      <c r="P86" s="293"/>
      <c r="Q86" s="132"/>
      <c r="R86" s="282"/>
      <c r="S86" s="247" t="s">
        <v>692</v>
      </c>
      <c r="U86" s="372" t="s">
        <v>892</v>
      </c>
      <c r="V86" s="372"/>
      <c r="W86" s="47"/>
      <c r="X86" s="47"/>
      <c r="Y86" s="47"/>
      <c r="Z86" s="373" t="s">
        <v>883</v>
      </c>
    </row>
    <row r="87" spans="1:26" ht="12.75">
      <c r="A87" s="247" t="s">
        <v>705</v>
      </c>
      <c r="B87" s="209" t="s">
        <v>706</v>
      </c>
      <c r="C87" s="275" t="s">
        <v>716</v>
      </c>
      <c r="D87" s="256"/>
      <c r="E87" s="218"/>
      <c r="F87" s="341" t="s">
        <v>948</v>
      </c>
      <c r="G87" s="241"/>
      <c r="H87" s="242"/>
      <c r="I87" s="242"/>
      <c r="J87" s="54"/>
      <c r="K87" s="202"/>
      <c r="L87" s="202"/>
      <c r="M87" s="336" t="s">
        <v>947</v>
      </c>
      <c r="N87" s="248" t="s">
        <v>717</v>
      </c>
      <c r="O87" s="338" t="s">
        <v>712</v>
      </c>
      <c r="P87" s="293">
        <v>2.2</v>
      </c>
      <c r="Q87" s="132"/>
      <c r="R87" s="282"/>
      <c r="S87" s="247" t="s">
        <v>693</v>
      </c>
      <c r="U87" s="372" t="s">
        <v>885</v>
      </c>
      <c r="V87" s="372"/>
      <c r="W87" s="47"/>
      <c r="X87" s="47"/>
      <c r="Y87" s="47"/>
      <c r="Z87" s="373" t="s">
        <v>884</v>
      </c>
    </row>
    <row r="88" spans="1:19" ht="12.75">
      <c r="A88" s="247" t="s">
        <v>689</v>
      </c>
      <c r="B88" s="340" t="s">
        <v>721</v>
      </c>
      <c r="C88" s="275" t="s">
        <v>719</v>
      </c>
      <c r="D88" s="256"/>
      <c r="E88" s="218"/>
      <c r="F88" s="342" t="s">
        <v>734</v>
      </c>
      <c r="G88" s="276" t="s">
        <v>727</v>
      </c>
      <c r="H88" s="242"/>
      <c r="I88" s="242"/>
      <c r="J88" s="334">
        <f>0.67/4.18</f>
        <v>0.16028708133971295</v>
      </c>
      <c r="K88" s="202"/>
      <c r="L88" s="202"/>
      <c r="M88" s="335" t="s">
        <v>700</v>
      </c>
      <c r="N88" s="59"/>
      <c r="O88" s="338" t="s">
        <v>720</v>
      </c>
      <c r="P88" s="293" t="s">
        <v>731</v>
      </c>
      <c r="Q88" s="132"/>
      <c r="R88" s="282"/>
      <c r="S88" s="247" t="s">
        <v>705</v>
      </c>
    </row>
    <row r="89" spans="1:19" ht="12.75">
      <c r="A89" s="247" t="s">
        <v>696</v>
      </c>
      <c r="B89" s="340" t="s">
        <v>723</v>
      </c>
      <c r="C89" s="275" t="s">
        <v>725</v>
      </c>
      <c r="D89" s="256"/>
      <c r="E89" s="218"/>
      <c r="F89" s="343">
        <v>70</v>
      </c>
      <c r="G89" s="241">
        <v>25.5</v>
      </c>
      <c r="H89" s="242"/>
      <c r="I89" s="242"/>
      <c r="J89" s="334">
        <f>0.84/4.18</f>
        <v>0.20095693779904306</v>
      </c>
      <c r="K89" s="202">
        <f>0.74/4.18</f>
        <v>0.17703349282296652</v>
      </c>
      <c r="L89" s="202" t="s">
        <v>7</v>
      </c>
      <c r="M89" s="250">
        <f>1/4185.5*3600</f>
        <v>0.8601122924381794</v>
      </c>
      <c r="N89" s="59"/>
      <c r="O89" s="338" t="s">
        <v>726</v>
      </c>
      <c r="P89" s="313" t="s">
        <v>730</v>
      </c>
      <c r="Q89" s="132"/>
      <c r="R89" s="340" t="s">
        <v>721</v>
      </c>
      <c r="S89" s="247" t="s">
        <v>689</v>
      </c>
    </row>
    <row r="90" spans="1:19" ht="12.75">
      <c r="A90" s="247" t="s">
        <v>690</v>
      </c>
      <c r="B90" s="340" t="s">
        <v>721</v>
      </c>
      <c r="C90" s="275" t="s">
        <v>724</v>
      </c>
      <c r="D90" s="256"/>
      <c r="E90" s="218"/>
      <c r="F90" s="342" t="s">
        <v>735</v>
      </c>
      <c r="G90" s="276" t="s">
        <v>728</v>
      </c>
      <c r="H90" s="242"/>
      <c r="I90" s="242"/>
      <c r="J90" s="334">
        <f>0.5/4.18</f>
        <v>0.11961722488038279</v>
      </c>
      <c r="K90" s="202"/>
      <c r="L90" s="202"/>
      <c r="M90" s="250">
        <f>0.85/4185.5*3600</f>
        <v>0.7310954485724526</v>
      </c>
      <c r="N90" s="339" t="s">
        <v>729</v>
      </c>
      <c r="O90" s="338" t="s">
        <v>722</v>
      </c>
      <c r="P90" s="313" t="s">
        <v>732</v>
      </c>
      <c r="Q90" s="381" t="s">
        <v>918</v>
      </c>
      <c r="R90" s="340" t="s">
        <v>723</v>
      </c>
      <c r="S90" s="247" t="s">
        <v>696</v>
      </c>
    </row>
    <row r="91" spans="1:19" ht="12.75">
      <c r="A91" s="247" t="s">
        <v>691</v>
      </c>
      <c r="C91" s="254">
        <v>2.23</v>
      </c>
      <c r="D91" s="256"/>
      <c r="E91" s="218"/>
      <c r="F91" s="343">
        <v>69</v>
      </c>
      <c r="G91" s="241">
        <v>9.6</v>
      </c>
      <c r="H91" s="242"/>
      <c r="I91" s="242"/>
      <c r="J91" s="334">
        <f>0.78/4.18</f>
        <v>0.18660287081339716</v>
      </c>
      <c r="K91" s="54"/>
      <c r="L91" s="54"/>
      <c r="M91" s="250">
        <f>1.1/4185.5*3600</f>
        <v>0.9461235216819975</v>
      </c>
      <c r="N91" s="59"/>
      <c r="O91" s="278">
        <v>1.474</v>
      </c>
      <c r="P91" s="293" t="s">
        <v>733</v>
      </c>
      <c r="Q91" s="132"/>
      <c r="R91" s="340" t="s">
        <v>721</v>
      </c>
      <c r="S91" s="247" t="s">
        <v>690</v>
      </c>
    </row>
    <row r="92" spans="1:19" ht="12.75">
      <c r="A92" s="271" t="s">
        <v>932</v>
      </c>
      <c r="B92" s="129" t="s">
        <v>493</v>
      </c>
      <c r="C92" s="275" t="s">
        <v>933</v>
      </c>
      <c r="D92" s="392" t="s">
        <v>935</v>
      </c>
      <c r="E92" s="219" t="s">
        <v>7</v>
      </c>
      <c r="F92" s="304"/>
      <c r="G92" s="311" t="s">
        <v>934</v>
      </c>
      <c r="H92" s="225">
        <v>115</v>
      </c>
      <c r="I92" s="225">
        <v>455</v>
      </c>
      <c r="J92" s="287" t="s">
        <v>936</v>
      </c>
      <c r="K92" s="230">
        <f>105/4.1855</f>
        <v>25.0866085294469</v>
      </c>
      <c r="L92" s="252">
        <f>76960/(256.48*4.1855)</f>
        <v>71.69092892887714</v>
      </c>
      <c r="M92" s="237" t="s">
        <v>7</v>
      </c>
      <c r="N92" s="397" t="s">
        <v>7</v>
      </c>
      <c r="O92" s="278"/>
      <c r="P92" s="265" t="s">
        <v>471</v>
      </c>
      <c r="Q92" s="261"/>
      <c r="R92" s="282"/>
      <c r="S92" s="247" t="s">
        <v>691</v>
      </c>
    </row>
    <row r="93" spans="15:18" ht="12.75">
      <c r="O93" s="210"/>
      <c r="R93" s="283"/>
    </row>
    <row r="94" spans="1:19" ht="12.75">
      <c r="A94" s="213" t="s">
        <v>426</v>
      </c>
      <c r="C94" s="246" t="s">
        <v>446</v>
      </c>
      <c r="D94" s="257" t="s">
        <v>446</v>
      </c>
      <c r="E94" s="208" t="s">
        <v>432</v>
      </c>
      <c r="F94" s="349" t="s">
        <v>762</v>
      </c>
      <c r="G94" s="211" t="s">
        <v>512</v>
      </c>
      <c r="H94" s="271" t="s">
        <v>514</v>
      </c>
      <c r="I94" s="216" t="s">
        <v>429</v>
      </c>
      <c r="J94" s="214" t="s">
        <v>436</v>
      </c>
      <c r="K94" s="240" t="s">
        <v>433</v>
      </c>
      <c r="L94" s="202" t="s">
        <v>616</v>
      </c>
      <c r="M94" s="233" t="s">
        <v>799</v>
      </c>
      <c r="N94" s="331" t="s">
        <v>800</v>
      </c>
      <c r="O94" s="332" t="s">
        <v>845</v>
      </c>
      <c r="P94" s="258" t="s">
        <v>498</v>
      </c>
      <c r="Q94" s="133"/>
      <c r="R94" s="285" t="s">
        <v>464</v>
      </c>
      <c r="S94" s="213" t="s">
        <v>445</v>
      </c>
    </row>
    <row r="95" spans="1:19" ht="12.75">
      <c r="A95" s="213" t="s">
        <v>427</v>
      </c>
      <c r="C95" s="246" t="s">
        <v>620</v>
      </c>
      <c r="D95" s="257" t="s">
        <v>504</v>
      </c>
      <c r="E95" s="266" t="s">
        <v>441</v>
      </c>
      <c r="F95" s="350" t="s">
        <v>763</v>
      </c>
      <c r="G95" s="211" t="s">
        <v>519</v>
      </c>
      <c r="H95" s="216" t="s">
        <v>431</v>
      </c>
      <c r="I95" s="216" t="s">
        <v>430</v>
      </c>
      <c r="J95" s="202" t="s">
        <v>802</v>
      </c>
      <c r="K95" s="202" t="s">
        <v>613</v>
      </c>
      <c r="L95" s="47" t="s">
        <v>960</v>
      </c>
      <c r="M95" s="233" t="s">
        <v>463</v>
      </c>
      <c r="N95" s="232" t="s">
        <v>801</v>
      </c>
      <c r="O95" s="332" t="s">
        <v>847</v>
      </c>
      <c r="P95" s="258" t="s">
        <v>499</v>
      </c>
      <c r="Q95" s="133"/>
      <c r="R95" s="286" t="s">
        <v>461</v>
      </c>
      <c r="S95" s="213"/>
    </row>
    <row r="96" spans="3:18" ht="12.75">
      <c r="C96" s="204" t="s">
        <v>796</v>
      </c>
      <c r="F96" s="299" t="s">
        <v>781</v>
      </c>
      <c r="H96" s="210" t="s">
        <v>618</v>
      </c>
      <c r="J96" s="54" t="s">
        <v>843</v>
      </c>
      <c r="K96" s="370" t="s">
        <v>961</v>
      </c>
      <c r="L96" s="370"/>
      <c r="M96" s="47"/>
      <c r="O96" s="210" t="s">
        <v>846</v>
      </c>
      <c r="R96" s="283"/>
    </row>
    <row r="97" spans="1:18" ht="12.75">
      <c r="A97" s="204"/>
      <c r="F97" s="353"/>
      <c r="H97" s="210"/>
      <c r="K97" s="370" t="s">
        <v>963</v>
      </c>
      <c r="L97" s="370"/>
      <c r="M97" s="47"/>
      <c r="O97" s="210"/>
      <c r="R97" s="283"/>
    </row>
    <row r="98" spans="1:19" ht="12.75">
      <c r="A98" s="243" t="s">
        <v>557</v>
      </c>
      <c r="B98" s="204" t="s">
        <v>558</v>
      </c>
      <c r="C98" s="254">
        <v>1.175</v>
      </c>
      <c r="D98" s="255">
        <v>26.04</v>
      </c>
      <c r="E98" s="320" t="s">
        <v>628</v>
      </c>
      <c r="F98" s="307" t="s">
        <v>764</v>
      </c>
      <c r="G98" s="241">
        <v>3740</v>
      </c>
      <c r="H98" s="242">
        <v>-84</v>
      </c>
      <c r="I98" s="242" t="s">
        <v>564</v>
      </c>
      <c r="J98" s="316">
        <f>1.68/4.1855</f>
        <v>0.4013857364711504</v>
      </c>
      <c r="K98" s="54"/>
      <c r="L98" s="373" t="s">
        <v>979</v>
      </c>
      <c r="M98" s="370" t="s">
        <v>980</v>
      </c>
      <c r="N98" s="248">
        <v>1.24</v>
      </c>
      <c r="O98" s="278"/>
      <c r="P98" s="132"/>
      <c r="Q98" s="132"/>
      <c r="R98" s="282"/>
      <c r="S98" s="243" t="s">
        <v>557</v>
      </c>
    </row>
    <row r="99" spans="1:19" ht="12.75">
      <c r="A99" s="243" t="s">
        <v>542</v>
      </c>
      <c r="B99" s="203" t="s">
        <v>547</v>
      </c>
      <c r="C99" s="278">
        <v>0.771</v>
      </c>
      <c r="D99" s="279">
        <v>17.03</v>
      </c>
      <c r="E99" s="320" t="s">
        <v>632</v>
      </c>
      <c r="F99" s="351" t="s">
        <v>765</v>
      </c>
      <c r="G99" s="241">
        <v>3770</v>
      </c>
      <c r="H99" s="242">
        <v>-78</v>
      </c>
      <c r="I99" s="242">
        <v>-34</v>
      </c>
      <c r="J99" s="316">
        <f>2.16/4.1855</f>
        <v>0.5160673754629077</v>
      </c>
      <c r="K99" s="54"/>
      <c r="L99" s="373" t="s">
        <v>962</v>
      </c>
      <c r="M99" s="59"/>
      <c r="N99" s="248">
        <v>1.31</v>
      </c>
      <c r="O99" s="278"/>
      <c r="P99" s="262">
        <v>1.0072</v>
      </c>
      <c r="Q99" s="132"/>
      <c r="R99" s="292"/>
      <c r="S99" s="243" t="s">
        <v>542</v>
      </c>
    </row>
    <row r="100" spans="1:19" ht="12.75">
      <c r="A100" s="244" t="s">
        <v>456</v>
      </c>
      <c r="B100" s="203" t="s">
        <v>548</v>
      </c>
      <c r="C100" s="254">
        <v>1.977</v>
      </c>
      <c r="D100" s="255">
        <v>44.01</v>
      </c>
      <c r="E100" s="320" t="s">
        <v>629</v>
      </c>
      <c r="F100" s="351" t="s">
        <v>766</v>
      </c>
      <c r="G100" s="241">
        <v>3740</v>
      </c>
      <c r="H100" s="242">
        <v>-78.5</v>
      </c>
      <c r="I100" s="242" t="s">
        <v>564</v>
      </c>
      <c r="J100" s="316">
        <f>0.84/4.1855</f>
        <v>0.2006928682355752</v>
      </c>
      <c r="K100" s="54"/>
      <c r="L100" s="370" t="s">
        <v>964</v>
      </c>
      <c r="M100" s="59"/>
      <c r="N100" s="248">
        <v>1.29</v>
      </c>
      <c r="O100" s="278">
        <v>1.000451</v>
      </c>
      <c r="P100" s="262">
        <v>1.0099</v>
      </c>
      <c r="Q100" s="132"/>
      <c r="R100" s="282"/>
      <c r="S100" s="244" t="s">
        <v>456</v>
      </c>
    </row>
    <row r="101" spans="1:19" ht="12.75">
      <c r="A101" s="246" t="s">
        <v>788</v>
      </c>
      <c r="B101" s="203" t="s">
        <v>99</v>
      </c>
      <c r="C101" s="254">
        <v>1.784</v>
      </c>
      <c r="D101" s="255">
        <v>39.95</v>
      </c>
      <c r="E101" s="320" t="s">
        <v>791</v>
      </c>
      <c r="F101" s="270" t="s">
        <v>797</v>
      </c>
      <c r="G101" s="241">
        <v>3660</v>
      </c>
      <c r="H101" s="242">
        <v>-189</v>
      </c>
      <c r="I101" s="242">
        <v>-186</v>
      </c>
      <c r="J101" s="316">
        <f>0.52/4.1855</f>
        <v>0.12423844224107036</v>
      </c>
      <c r="K101" s="54"/>
      <c r="L101" s="370" t="s">
        <v>965</v>
      </c>
      <c r="M101" s="59"/>
      <c r="N101" s="248">
        <v>1.65</v>
      </c>
      <c r="O101" s="278">
        <v>1.000281</v>
      </c>
      <c r="P101" s="132"/>
      <c r="Q101" s="132"/>
      <c r="R101" s="282"/>
      <c r="S101" s="246" t="s">
        <v>788</v>
      </c>
    </row>
    <row r="102" spans="1:19" ht="12.75">
      <c r="A102" s="245" t="s">
        <v>420</v>
      </c>
      <c r="B102" s="280"/>
      <c r="C102" s="254">
        <v>1.293</v>
      </c>
      <c r="D102" s="255">
        <v>28.96</v>
      </c>
      <c r="E102" s="320" t="s">
        <v>621</v>
      </c>
      <c r="F102" s="351" t="s">
        <v>767</v>
      </c>
      <c r="G102" s="222">
        <v>3900</v>
      </c>
      <c r="H102" s="225" t="s">
        <v>421</v>
      </c>
      <c r="I102" s="225">
        <v>-191</v>
      </c>
      <c r="J102" s="316">
        <f>1/4.1855</f>
        <v>0.2389200812328276</v>
      </c>
      <c r="K102" s="252">
        <f>1/4.1855</f>
        <v>0.2389200812328276</v>
      </c>
      <c r="L102" s="370" t="s">
        <v>7</v>
      </c>
      <c r="M102" s="238" t="s">
        <v>423</v>
      </c>
      <c r="N102" s="248">
        <v>1.4</v>
      </c>
      <c r="O102" s="278">
        <v>1.000292</v>
      </c>
      <c r="P102" s="262">
        <v>1.000536</v>
      </c>
      <c r="Q102" s="264">
        <v>1.00000036</v>
      </c>
      <c r="R102" s="382" t="s">
        <v>917</v>
      </c>
      <c r="S102" s="245" t="s">
        <v>420</v>
      </c>
    </row>
    <row r="103" spans="1:19" ht="12.75">
      <c r="A103" s="246" t="s">
        <v>401</v>
      </c>
      <c r="B103" s="204" t="s">
        <v>555</v>
      </c>
      <c r="C103" s="254">
        <v>1.251</v>
      </c>
      <c r="D103" s="255">
        <v>28.01</v>
      </c>
      <c r="E103" s="320" t="s">
        <v>622</v>
      </c>
      <c r="F103" s="270" t="s">
        <v>768</v>
      </c>
      <c r="G103" s="241">
        <v>3670</v>
      </c>
      <c r="H103" s="225">
        <v>-210</v>
      </c>
      <c r="I103" s="225">
        <f>77-273</f>
        <v>-196</v>
      </c>
      <c r="J103" s="316">
        <f>1.04/4.1855</f>
        <v>0.24847688448214073</v>
      </c>
      <c r="K103" s="230">
        <f>0.24*1.04</f>
        <v>0.2496</v>
      </c>
      <c r="L103" s="370" t="s">
        <v>966</v>
      </c>
      <c r="M103" s="238" t="s">
        <v>422</v>
      </c>
      <c r="N103" s="248">
        <v>1.4</v>
      </c>
      <c r="O103" s="278"/>
      <c r="P103" s="132"/>
      <c r="Q103" s="132"/>
      <c r="R103" s="282"/>
      <c r="S103" s="246" t="s">
        <v>401</v>
      </c>
    </row>
    <row r="104" spans="1:19" ht="12.75">
      <c r="A104" s="243" t="s">
        <v>785</v>
      </c>
      <c r="B104" s="281" t="s">
        <v>457</v>
      </c>
      <c r="C104" s="254">
        <v>2.732</v>
      </c>
      <c r="D104" s="255">
        <v>58.12</v>
      </c>
      <c r="E104" s="320" t="s">
        <v>627</v>
      </c>
      <c r="F104" s="351" t="s">
        <v>780</v>
      </c>
      <c r="G104" s="354" t="s">
        <v>798</v>
      </c>
      <c r="H104" s="242">
        <v>-138</v>
      </c>
      <c r="I104" s="242">
        <v>-0.5</v>
      </c>
      <c r="J104" s="316">
        <f>1.66/4.1855</f>
        <v>0.3966073348464938</v>
      </c>
      <c r="K104" s="54"/>
      <c r="L104" s="370" t="s">
        <v>967</v>
      </c>
      <c r="M104" s="59"/>
      <c r="N104" s="248" t="s">
        <v>466</v>
      </c>
      <c r="O104" s="278"/>
      <c r="P104" s="132"/>
      <c r="Q104" s="132"/>
      <c r="R104" s="282">
        <f>42700/4185.5</f>
        <v>10.20188746864174</v>
      </c>
      <c r="S104" s="243" t="s">
        <v>785</v>
      </c>
    </row>
    <row r="105" spans="1:19" ht="12.75">
      <c r="A105" s="246" t="s">
        <v>386</v>
      </c>
      <c r="B105" s="204" t="s">
        <v>556</v>
      </c>
      <c r="C105" s="254">
        <v>3.214</v>
      </c>
      <c r="D105" s="255">
        <v>70.91</v>
      </c>
      <c r="E105" s="320" t="s">
        <v>630</v>
      </c>
      <c r="F105" s="270" t="s">
        <v>771</v>
      </c>
      <c r="G105" s="222">
        <v>3830</v>
      </c>
      <c r="H105" s="225">
        <v>-101</v>
      </c>
      <c r="I105" s="225">
        <v>-34</v>
      </c>
      <c r="J105" s="316">
        <f>0.48/4.1855</f>
        <v>0.11468163899175725</v>
      </c>
      <c r="K105" s="252">
        <f>0.24*0.48</f>
        <v>0.1152</v>
      </c>
      <c r="L105" s="370" t="s">
        <v>968</v>
      </c>
      <c r="M105" s="238" t="s">
        <v>424</v>
      </c>
      <c r="N105" s="248">
        <v>1.35</v>
      </c>
      <c r="O105" s="278">
        <v>1.000773</v>
      </c>
      <c r="P105" s="132"/>
      <c r="Q105" s="132"/>
      <c r="R105" s="282"/>
      <c r="S105" s="246" t="s">
        <v>386</v>
      </c>
    </row>
    <row r="106" spans="1:19" ht="12.75">
      <c r="A106" s="243" t="s">
        <v>543</v>
      </c>
      <c r="B106" s="204" t="s">
        <v>546</v>
      </c>
      <c r="C106" s="254">
        <v>2.927</v>
      </c>
      <c r="D106" s="255">
        <v>64.06</v>
      </c>
      <c r="E106" s="320" t="s">
        <v>631</v>
      </c>
      <c r="F106" s="351" t="s">
        <v>773</v>
      </c>
      <c r="G106" s="222">
        <v>3900</v>
      </c>
      <c r="H106" s="225">
        <v>-73</v>
      </c>
      <c r="I106" s="225">
        <v>-10</v>
      </c>
      <c r="J106" s="316">
        <f>0.64/4.1855</f>
        <v>0.15290885198900966</v>
      </c>
      <c r="K106" s="252"/>
      <c r="L106" s="370" t="s">
        <v>978</v>
      </c>
      <c r="M106" s="238"/>
      <c r="N106" s="248">
        <v>1.27</v>
      </c>
      <c r="O106" s="278"/>
      <c r="P106" s="132"/>
      <c r="Q106" s="132"/>
      <c r="R106" s="282"/>
      <c r="S106" s="243" t="s">
        <v>543</v>
      </c>
    </row>
    <row r="107" spans="1:19" ht="12.75">
      <c r="A107" s="246" t="s">
        <v>385</v>
      </c>
      <c r="B107" s="204" t="s">
        <v>51</v>
      </c>
      <c r="C107" s="254">
        <v>0.1785</v>
      </c>
      <c r="D107" s="255">
        <v>4</v>
      </c>
      <c r="E107" s="320" t="s">
        <v>635</v>
      </c>
      <c r="F107" s="270" t="s">
        <v>775</v>
      </c>
      <c r="G107" s="222">
        <v>3660</v>
      </c>
      <c r="H107" s="225">
        <v>-272</v>
      </c>
      <c r="I107" s="225">
        <v>-269</v>
      </c>
      <c r="J107" s="316">
        <f>5.23/4.1855</f>
        <v>1.2495520248476886</v>
      </c>
      <c r="K107" s="230">
        <f>0.24*5.23</f>
        <v>1.2552</v>
      </c>
      <c r="L107" s="370" t="s">
        <v>969</v>
      </c>
      <c r="M107" s="238" t="s">
        <v>425</v>
      </c>
      <c r="N107" s="248">
        <v>1.63</v>
      </c>
      <c r="O107" s="278">
        <v>1.000036</v>
      </c>
      <c r="P107" s="264">
        <v>1.0000645</v>
      </c>
      <c r="Q107" s="132"/>
      <c r="R107" s="282"/>
      <c r="S107" s="246" t="s">
        <v>385</v>
      </c>
    </row>
    <row r="108" spans="1:19" ht="12.75">
      <c r="A108" s="243" t="s">
        <v>783</v>
      </c>
      <c r="B108" s="204" t="s">
        <v>459</v>
      </c>
      <c r="C108" s="254">
        <v>1.357</v>
      </c>
      <c r="D108" s="255">
        <v>30.07</v>
      </c>
      <c r="E108" s="320"/>
      <c r="F108" s="351" t="s">
        <v>777</v>
      </c>
      <c r="G108" s="241">
        <v>3770</v>
      </c>
      <c r="H108" s="242">
        <v>-183</v>
      </c>
      <c r="I108" s="242">
        <v>-89</v>
      </c>
      <c r="J108" s="316">
        <f>1.73/4.1855</f>
        <v>0.41333174053279176</v>
      </c>
      <c r="K108" s="54"/>
      <c r="L108" s="370" t="s">
        <v>970</v>
      </c>
      <c r="M108" s="59"/>
      <c r="N108" s="248">
        <v>1.19</v>
      </c>
      <c r="O108" s="278"/>
      <c r="P108" s="132"/>
      <c r="Q108" s="132"/>
      <c r="R108" s="282">
        <f>46900/4185.5</f>
        <v>11.205351809819616</v>
      </c>
      <c r="S108" s="243" t="s">
        <v>783</v>
      </c>
    </row>
    <row r="109" spans="1:19" ht="12.75">
      <c r="A109" s="243" t="s">
        <v>784</v>
      </c>
      <c r="B109" s="204" t="s">
        <v>619</v>
      </c>
      <c r="C109" s="254">
        <v>1.261</v>
      </c>
      <c r="D109" s="255">
        <v>28.05</v>
      </c>
      <c r="E109" s="320" t="s">
        <v>626</v>
      </c>
      <c r="F109" s="351" t="s">
        <v>778</v>
      </c>
      <c r="G109" s="241">
        <v>3720</v>
      </c>
      <c r="H109" s="242">
        <v>-169</v>
      </c>
      <c r="I109" s="242">
        <v>-104</v>
      </c>
      <c r="J109" s="316">
        <f>1.55/4.1855</f>
        <v>0.3703261259108828</v>
      </c>
      <c r="K109" s="54"/>
      <c r="L109" s="370"/>
      <c r="M109" s="59"/>
      <c r="N109" s="248">
        <v>1.24</v>
      </c>
      <c r="O109" s="278"/>
      <c r="P109" s="132"/>
      <c r="Q109" s="132"/>
      <c r="R109" s="282"/>
      <c r="S109" s="243" t="s">
        <v>784</v>
      </c>
    </row>
    <row r="110" spans="1:19" ht="12.75">
      <c r="A110" s="243" t="s">
        <v>545</v>
      </c>
      <c r="B110" s="204" t="s">
        <v>552</v>
      </c>
      <c r="C110" s="254">
        <v>5.51</v>
      </c>
      <c r="D110" s="255">
        <v>120.91</v>
      </c>
      <c r="E110" s="320" t="s">
        <v>633</v>
      </c>
      <c r="F110" s="351" t="s">
        <v>772</v>
      </c>
      <c r="G110" s="222" t="s">
        <v>466</v>
      </c>
      <c r="H110" s="225">
        <v>-158</v>
      </c>
      <c r="I110" s="225">
        <v>-30</v>
      </c>
      <c r="J110" s="316">
        <f>0.59/4.1855</f>
        <v>0.14096284792736827</v>
      </c>
      <c r="K110" s="252"/>
      <c r="L110" s="370"/>
      <c r="M110" s="238"/>
      <c r="N110" s="248">
        <v>1.13</v>
      </c>
      <c r="O110" s="278"/>
      <c r="P110" s="132"/>
      <c r="Q110" s="132"/>
      <c r="R110" s="282"/>
      <c r="S110" s="243" t="s">
        <v>545</v>
      </c>
    </row>
    <row r="111" spans="1:19" ht="12.75">
      <c r="A111" s="319" t="s">
        <v>544</v>
      </c>
      <c r="B111" s="204"/>
      <c r="C111" s="254" t="s">
        <v>108</v>
      </c>
      <c r="D111" s="255"/>
      <c r="E111" s="321"/>
      <c r="F111" s="352">
        <v>0</v>
      </c>
      <c r="G111" s="222">
        <v>3661</v>
      </c>
      <c r="H111" s="225"/>
      <c r="I111" s="225"/>
      <c r="J111" s="297" t="s">
        <v>844</v>
      </c>
      <c r="K111" s="252"/>
      <c r="L111" s="370"/>
      <c r="M111" s="296" t="s">
        <v>559</v>
      </c>
      <c r="N111" s="248">
        <v>1.67</v>
      </c>
      <c r="O111" s="278"/>
      <c r="P111" s="132"/>
      <c r="Q111" s="132"/>
      <c r="R111" s="282"/>
      <c r="S111" s="319" t="s">
        <v>544</v>
      </c>
    </row>
    <row r="112" spans="1:19" ht="12.75">
      <c r="A112" s="246" t="s">
        <v>383</v>
      </c>
      <c r="B112" s="204" t="s">
        <v>553</v>
      </c>
      <c r="C112" s="254">
        <v>0.0899</v>
      </c>
      <c r="D112" s="255">
        <v>2.02</v>
      </c>
      <c r="E112" s="320" t="s">
        <v>636</v>
      </c>
      <c r="F112" s="270" t="s">
        <v>770</v>
      </c>
      <c r="G112" s="222">
        <v>3660</v>
      </c>
      <c r="H112" s="225">
        <v>-259</v>
      </c>
      <c r="I112" s="225">
        <v>-253</v>
      </c>
      <c r="J112" s="316">
        <f>14.32/4.1855</f>
        <v>3.4213355632540914</v>
      </c>
      <c r="K112" s="229">
        <f>0.24*14.32</f>
        <v>3.4368</v>
      </c>
      <c r="L112" s="370" t="s">
        <v>971</v>
      </c>
      <c r="M112" s="238">
        <v>4.4E-05</v>
      </c>
      <c r="N112" s="248">
        <v>1.41</v>
      </c>
      <c r="O112" s="278">
        <v>1.000132</v>
      </c>
      <c r="P112" s="262">
        <v>1.000253</v>
      </c>
      <c r="Q112" s="132"/>
      <c r="R112" s="393">
        <f>120100/4185.5</f>
        <v>28.694301756062597</v>
      </c>
      <c r="S112" s="246" t="s">
        <v>383</v>
      </c>
    </row>
    <row r="113" spans="1:19" ht="12.75">
      <c r="A113" s="246" t="s">
        <v>789</v>
      </c>
      <c r="B113" s="204" t="s">
        <v>790</v>
      </c>
      <c r="C113" s="254">
        <v>1.539</v>
      </c>
      <c r="D113" s="255">
        <v>34.08</v>
      </c>
      <c r="E113" s="320" t="s">
        <v>792</v>
      </c>
      <c r="F113" s="351" t="s">
        <v>795</v>
      </c>
      <c r="G113" s="222">
        <v>3770</v>
      </c>
      <c r="H113" s="225">
        <v>-86</v>
      </c>
      <c r="I113" s="225">
        <v>-61</v>
      </c>
      <c r="J113" s="316">
        <f>1.05/4.1855</f>
        <v>0.250866085294469</v>
      </c>
      <c r="K113" s="229"/>
      <c r="L113" s="370" t="s">
        <v>972</v>
      </c>
      <c r="M113" s="238"/>
      <c r="N113" s="248">
        <v>1.31</v>
      </c>
      <c r="O113" s="278"/>
      <c r="P113" s="262"/>
      <c r="Q113" s="132"/>
      <c r="R113" s="282"/>
      <c r="S113" s="246" t="s">
        <v>789</v>
      </c>
    </row>
    <row r="114" spans="1:19" ht="12.75">
      <c r="A114" s="243" t="s">
        <v>786</v>
      </c>
      <c r="B114" s="204" t="s">
        <v>787</v>
      </c>
      <c r="C114" s="254">
        <v>1.34</v>
      </c>
      <c r="D114" s="255">
        <v>30.01</v>
      </c>
      <c r="E114" s="320" t="s">
        <v>793</v>
      </c>
      <c r="F114" s="351" t="s">
        <v>794</v>
      </c>
      <c r="G114" s="222">
        <v>3670</v>
      </c>
      <c r="H114" s="225">
        <v>-164</v>
      </c>
      <c r="I114" s="225">
        <v>-152</v>
      </c>
      <c r="J114" s="316">
        <f>1/4.1855</f>
        <v>0.2389200812328276</v>
      </c>
      <c r="K114" s="229"/>
      <c r="L114" s="370"/>
      <c r="M114" s="238"/>
      <c r="N114" s="248">
        <v>1.39</v>
      </c>
      <c r="O114" s="278"/>
      <c r="P114" s="262"/>
      <c r="Q114" s="132"/>
      <c r="R114" s="282"/>
      <c r="S114" s="243" t="s">
        <v>786</v>
      </c>
    </row>
    <row r="115" spans="1:19" ht="12.75">
      <c r="A115" s="243" t="s">
        <v>454</v>
      </c>
      <c r="B115" s="204" t="s">
        <v>455</v>
      </c>
      <c r="C115" s="254">
        <v>1.25</v>
      </c>
      <c r="D115" s="255">
        <v>28.01</v>
      </c>
      <c r="E115" s="320" t="s">
        <v>634</v>
      </c>
      <c r="F115" s="351" t="s">
        <v>774</v>
      </c>
      <c r="G115" s="222">
        <v>3670</v>
      </c>
      <c r="H115" s="225">
        <v>-199</v>
      </c>
      <c r="I115" s="225">
        <v>-192</v>
      </c>
      <c r="J115" s="316">
        <f>1.04/4.1855</f>
        <v>0.24847688448214073</v>
      </c>
      <c r="K115" s="252"/>
      <c r="L115" s="370" t="s">
        <v>973</v>
      </c>
      <c r="M115" s="238"/>
      <c r="N115" s="248">
        <v>1.4</v>
      </c>
      <c r="O115" s="278"/>
      <c r="P115" s="262">
        <v>1.0007</v>
      </c>
      <c r="Q115" s="132"/>
      <c r="R115" s="282">
        <f>23200/4185.5</f>
        <v>5.5429458846016</v>
      </c>
      <c r="S115" s="243" t="s">
        <v>454</v>
      </c>
    </row>
    <row r="116" spans="1:19" ht="12.75">
      <c r="A116" s="246" t="s">
        <v>384</v>
      </c>
      <c r="B116" s="204" t="s">
        <v>554</v>
      </c>
      <c r="C116" s="254">
        <v>1.429</v>
      </c>
      <c r="D116" s="255">
        <v>32</v>
      </c>
      <c r="E116" s="320" t="s">
        <v>623</v>
      </c>
      <c r="F116" s="270" t="s">
        <v>769</v>
      </c>
      <c r="G116" s="222">
        <v>4860</v>
      </c>
      <c r="H116" s="225">
        <v>-219</v>
      </c>
      <c r="I116" s="225">
        <v>-183</v>
      </c>
      <c r="J116" s="316">
        <f>0.92/4.1855</f>
        <v>0.2198064747342014</v>
      </c>
      <c r="K116" s="230">
        <v>0.22</v>
      </c>
      <c r="L116" s="370" t="s">
        <v>974</v>
      </c>
      <c r="M116" s="238" t="s">
        <v>422</v>
      </c>
      <c r="N116" s="248">
        <v>1.4</v>
      </c>
      <c r="O116" s="278">
        <v>1.000272</v>
      </c>
      <c r="P116" s="262">
        <v>1.000495</v>
      </c>
      <c r="Q116" s="264">
        <v>1.0000018</v>
      </c>
      <c r="R116" s="382" t="s">
        <v>917</v>
      </c>
      <c r="S116" s="246" t="s">
        <v>384</v>
      </c>
    </row>
    <row r="117" spans="1:19" ht="12.75">
      <c r="A117" s="243" t="s">
        <v>804</v>
      </c>
      <c r="B117" s="204" t="s">
        <v>458</v>
      </c>
      <c r="C117" s="254">
        <v>0.717</v>
      </c>
      <c r="D117" s="255">
        <v>16.04</v>
      </c>
      <c r="E117" s="320" t="s">
        <v>624</v>
      </c>
      <c r="F117" s="351" t="s">
        <v>776</v>
      </c>
      <c r="G117" s="241">
        <v>3680</v>
      </c>
      <c r="H117" s="242">
        <v>-183</v>
      </c>
      <c r="I117" s="242">
        <v>-162</v>
      </c>
      <c r="J117" s="316">
        <f>2.22/4.1855</f>
        <v>0.5304025803368774</v>
      </c>
      <c r="K117" s="54"/>
      <c r="L117" s="370" t="s">
        <v>976</v>
      </c>
      <c r="M117" s="59"/>
      <c r="N117" s="248">
        <v>1.31</v>
      </c>
      <c r="O117" s="278">
        <v>1.000444</v>
      </c>
      <c r="P117" s="132"/>
      <c r="Q117" s="132"/>
      <c r="R117" s="282">
        <f>50400/4185.5</f>
        <v>12.041572094134512</v>
      </c>
      <c r="S117" s="243" t="s">
        <v>804</v>
      </c>
    </row>
    <row r="118" spans="1:19" ht="12.75">
      <c r="A118" s="243" t="s">
        <v>803</v>
      </c>
      <c r="B118" s="204" t="s">
        <v>72</v>
      </c>
      <c r="C118" s="254"/>
      <c r="D118" s="255"/>
      <c r="E118" s="320"/>
      <c r="F118" s="351"/>
      <c r="G118" s="241"/>
      <c r="H118" s="242"/>
      <c r="I118" s="242"/>
      <c r="J118" s="316">
        <f>1.04/4.1855</f>
        <v>0.24847688448214073</v>
      </c>
      <c r="K118" s="54"/>
      <c r="L118" s="370" t="s">
        <v>977</v>
      </c>
      <c r="M118" s="59"/>
      <c r="N118" s="248">
        <v>1.64</v>
      </c>
      <c r="O118" s="278">
        <v>1.000067</v>
      </c>
      <c r="P118" s="132"/>
      <c r="Q118" s="132"/>
      <c r="R118" s="282"/>
      <c r="S118" s="243" t="s">
        <v>803</v>
      </c>
    </row>
    <row r="119" spans="1:19" ht="12.75">
      <c r="A119" s="243" t="s">
        <v>805</v>
      </c>
      <c r="B119" s="204" t="s">
        <v>460</v>
      </c>
      <c r="C119" s="254">
        <v>2.01</v>
      </c>
      <c r="D119" s="255">
        <v>44.1</v>
      </c>
      <c r="E119" s="320" t="s">
        <v>625</v>
      </c>
      <c r="F119" s="351" t="s">
        <v>779</v>
      </c>
      <c r="G119" s="354" t="s">
        <v>466</v>
      </c>
      <c r="H119" s="242">
        <v>-190</v>
      </c>
      <c r="I119" s="242">
        <v>-42</v>
      </c>
      <c r="J119" s="316">
        <f>1.6/4.1855</f>
        <v>0.3822721299725242</v>
      </c>
      <c r="K119" s="54"/>
      <c r="L119" s="370" t="s">
        <v>975</v>
      </c>
      <c r="M119" s="59"/>
      <c r="N119" s="248">
        <v>1.13</v>
      </c>
      <c r="O119" s="278"/>
      <c r="P119" s="132"/>
      <c r="Q119" s="132"/>
      <c r="R119" s="282">
        <f>46200/4185.5</f>
        <v>11.038107752956636</v>
      </c>
      <c r="S119" s="243" t="s">
        <v>805</v>
      </c>
    </row>
    <row r="120" spans="2:18" ht="12.75">
      <c r="B120" s="209"/>
      <c r="C120" s="210"/>
      <c r="D120" s="210"/>
      <c r="P120" s="264" t="s">
        <v>983</v>
      </c>
      <c r="Q120" s="264"/>
      <c r="R120" s="209"/>
    </row>
    <row r="121" spans="1:12" ht="13.5">
      <c r="A121" s="44"/>
      <c r="B121" s="44"/>
      <c r="C121" s="355" t="s">
        <v>806</v>
      </c>
      <c r="D121" s="355"/>
      <c r="E121" s="44"/>
      <c r="F121" s="356" t="s">
        <v>810</v>
      </c>
      <c r="G121" s="357" t="s">
        <v>809</v>
      </c>
      <c r="H121" s="357" t="s">
        <v>807</v>
      </c>
      <c r="I121" s="357" t="s">
        <v>811</v>
      </c>
      <c r="J121" s="44"/>
      <c r="K121" s="44"/>
      <c r="L121" s="44"/>
    </row>
    <row r="122" spans="1:12" ht="13.5">
      <c r="A122" s="361" t="s">
        <v>821</v>
      </c>
      <c r="B122" s="361" t="s">
        <v>822</v>
      </c>
      <c r="C122" s="362" t="s">
        <v>823</v>
      </c>
      <c r="D122" s="362" t="s">
        <v>824</v>
      </c>
      <c r="E122" s="361" t="s">
        <v>825</v>
      </c>
      <c r="F122" s="357" t="s">
        <v>808</v>
      </c>
      <c r="G122" s="358" t="s">
        <v>812</v>
      </c>
      <c r="H122" s="357" t="s">
        <v>813</v>
      </c>
      <c r="I122" s="357" t="s">
        <v>814</v>
      </c>
      <c r="J122" s="359" t="s">
        <v>815</v>
      </c>
      <c r="K122" s="44"/>
      <c r="L122" s="44"/>
    </row>
    <row r="123" spans="1:17" ht="14.25">
      <c r="A123" s="361" t="s">
        <v>826</v>
      </c>
      <c r="B123" s="361" t="s">
        <v>827</v>
      </c>
      <c r="C123" s="363" t="s">
        <v>828</v>
      </c>
      <c r="D123" s="364" t="s">
        <v>829</v>
      </c>
      <c r="E123" s="361" t="s">
        <v>833</v>
      </c>
      <c r="F123" s="44" t="s">
        <v>818</v>
      </c>
      <c r="G123" s="44"/>
      <c r="H123" s="44" t="s">
        <v>820</v>
      </c>
      <c r="I123" s="44" t="s">
        <v>816</v>
      </c>
      <c r="J123" s="44" t="s">
        <v>817</v>
      </c>
      <c r="K123" s="44" t="s">
        <v>819</v>
      </c>
      <c r="L123" s="44"/>
      <c r="N123" t="s">
        <v>7</v>
      </c>
      <c r="Q123" t="s">
        <v>7</v>
      </c>
    </row>
    <row r="124" spans="1:12" ht="12.75">
      <c r="A124" s="363" t="s">
        <v>830</v>
      </c>
      <c r="B124" s="361" t="s">
        <v>831</v>
      </c>
      <c r="C124" s="363" t="s">
        <v>834</v>
      </c>
      <c r="D124" s="362" t="s">
        <v>832</v>
      </c>
      <c r="E124" s="361" t="s">
        <v>835</v>
      </c>
      <c r="F124" s="44" t="s">
        <v>836</v>
      </c>
      <c r="G124" s="360" t="s">
        <v>839</v>
      </c>
      <c r="H124" s="44" t="s">
        <v>837</v>
      </c>
      <c r="I124" s="365" t="s">
        <v>838</v>
      </c>
      <c r="J124" s="44" t="s">
        <v>840</v>
      </c>
      <c r="K124" s="44" t="s">
        <v>841</v>
      </c>
      <c r="L124" s="44" t="s">
        <v>842</v>
      </c>
    </row>
    <row r="125" spans="3:7" ht="12.75">
      <c r="C125" s="7"/>
      <c r="D125" s="7" t="s">
        <v>7</v>
      </c>
      <c r="F125" t="s">
        <v>7</v>
      </c>
      <c r="G125" t="s">
        <v>7</v>
      </c>
    </row>
    <row r="126" spans="3:4" ht="12.75">
      <c r="C126" s="7"/>
      <c r="D126" s="7"/>
    </row>
    <row r="127" spans="3:4" ht="12.75">
      <c r="C127" s="7"/>
      <c r="D127" s="7"/>
    </row>
    <row r="128" spans="3:4" ht="12.75">
      <c r="C128" s="7">
        <f>3.17*760/101.325</f>
        <v>23.77695534172218</v>
      </c>
      <c r="D128" s="7"/>
    </row>
    <row r="129" spans="3:4" ht="12.75">
      <c r="C129" s="7"/>
      <c r="D129" s="7"/>
    </row>
    <row r="130" spans="3:4" ht="12.75">
      <c r="C130" s="7"/>
      <c r="D130" s="7"/>
    </row>
    <row r="131" spans="3:4" ht="12.75">
      <c r="C131" s="7"/>
      <c r="D131" s="7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Truttlee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Piero</dc:creator>
  <cp:keywords/>
  <dc:description/>
  <cp:lastModifiedBy>vigna</cp:lastModifiedBy>
  <dcterms:created xsi:type="dcterms:W3CDTF">2005-02-11T21:17:32Z</dcterms:created>
  <dcterms:modified xsi:type="dcterms:W3CDTF">2010-01-23T09:19:15Z</dcterms:modified>
  <cp:category/>
  <cp:version/>
  <cp:contentType/>
  <cp:contentStatus/>
</cp:coreProperties>
</file>